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835"/>
  </bookViews>
  <sheets>
    <sheet name="Cover Page" sheetId="6" r:id="rId1"/>
    <sheet name="Read Me Domtar" sheetId="2" r:id="rId2"/>
    <sheet name="Domtar SO2 controls" sheetId="3" r:id="rId3"/>
    <sheet name="Domtar SNCR #2PB" sheetId="4" r:id="rId4"/>
    <sheet name="Domtar SNCR #3PB " sheetId="5" r:id="rId5"/>
    <sheet name="CEPCI Index" sheetId="1" r:id="rId6"/>
  </sheets>
  <externalReferences>
    <externalReference r:id="rId7"/>
  </externalReferences>
  <definedNames>
    <definedName name="_xlnm.Print_Area" localSheetId="3">'Domtar SNCR #2PB'!$A$1:$E$92</definedName>
    <definedName name="_xlnm.Print_Area" localSheetId="4">'Domtar SNCR #3PB '!$A$1:$E$89</definedName>
  </definedNames>
  <calcPr calcId="145621" calcMode="manual"/>
</workbook>
</file>

<file path=xl/calcChain.xml><?xml version="1.0" encoding="utf-8"?>
<calcChain xmlns="http://schemas.openxmlformats.org/spreadsheetml/2006/main">
  <c r="E64" i="5" l="1"/>
  <c r="D64" i="5"/>
  <c r="E63" i="5"/>
  <c r="D63" i="5"/>
  <c r="E62" i="5"/>
  <c r="D62" i="5"/>
  <c r="E39" i="5"/>
  <c r="E51" i="5" s="1"/>
  <c r="D39" i="5"/>
  <c r="D40" i="5" s="1"/>
  <c r="D53" i="5" s="1"/>
  <c r="E37" i="5"/>
  <c r="D37" i="5"/>
  <c r="E36" i="5"/>
  <c r="D36" i="5"/>
  <c r="D35" i="5" s="1"/>
  <c r="E17" i="5"/>
  <c r="D17" i="5"/>
  <c r="E15" i="5"/>
  <c r="D15" i="5"/>
  <c r="E13" i="5"/>
  <c r="D13" i="5"/>
  <c r="E10" i="5"/>
  <c r="D10" i="5"/>
  <c r="E9" i="5"/>
  <c r="E8" i="5" s="1"/>
  <c r="D9" i="5"/>
  <c r="D8" i="5" s="1"/>
  <c r="E7" i="5"/>
  <c r="E23" i="5" s="1"/>
  <c r="D7" i="5"/>
  <c r="D23" i="5" s="1"/>
  <c r="E66" i="4"/>
  <c r="D66" i="4"/>
  <c r="E65" i="4"/>
  <c r="D65" i="4"/>
  <c r="E64" i="4"/>
  <c r="D64" i="4"/>
  <c r="E61" i="4"/>
  <c r="D61" i="4"/>
  <c r="E60" i="4"/>
  <c r="D60" i="4"/>
  <c r="E40" i="4"/>
  <c r="E53" i="4" s="1"/>
  <c r="E39" i="4"/>
  <c r="E51" i="4" s="1"/>
  <c r="E50" i="4" s="1"/>
  <c r="D39" i="4"/>
  <c r="D51" i="4" s="1"/>
  <c r="E37" i="4"/>
  <c r="D37" i="4"/>
  <c r="E36" i="4"/>
  <c r="E47" i="4" s="1"/>
  <c r="D36" i="4"/>
  <c r="E35" i="4"/>
  <c r="E23" i="4"/>
  <c r="E17" i="4"/>
  <c r="D17" i="4"/>
  <c r="E15" i="4"/>
  <c r="D15" i="4"/>
  <c r="E13" i="4"/>
  <c r="D13" i="4"/>
  <c r="E10" i="4"/>
  <c r="E9" i="4" s="1"/>
  <c r="E8" i="4" s="1"/>
  <c r="D10" i="4"/>
  <c r="D9" i="4"/>
  <c r="D8" i="4" s="1"/>
  <c r="E7" i="4"/>
  <c r="D7" i="4"/>
  <c r="D23" i="4" s="1"/>
  <c r="C28" i="3"/>
  <c r="D13" i="3"/>
  <c r="D9" i="3" s="1"/>
  <c r="F9" i="3" s="1"/>
  <c r="H9" i="3" s="1"/>
  <c r="C23" i="1"/>
  <c r="C22" i="1"/>
  <c r="C21" i="1"/>
  <c r="C20" i="1"/>
  <c r="C19" i="1"/>
  <c r="C18" i="1"/>
  <c r="C17" i="1"/>
  <c r="C16" i="1"/>
  <c r="C15" i="1"/>
  <c r="C14" i="1"/>
  <c r="C13" i="1"/>
  <c r="C12" i="1"/>
  <c r="C11" i="1"/>
  <c r="C10" i="1"/>
  <c r="C9" i="1"/>
  <c r="C8" i="1"/>
  <c r="C7" i="1"/>
  <c r="C6" i="1"/>
  <c r="C5" i="1"/>
  <c r="C4" i="1"/>
  <c r="C3" i="1"/>
  <c r="C2" i="1"/>
  <c r="D7" i="3" l="1"/>
  <c r="F7" i="3" s="1"/>
  <c r="H7" i="3" s="1"/>
  <c r="D8" i="3"/>
  <c r="F8" i="3" s="1"/>
  <c r="H8" i="3" s="1"/>
  <c r="D6" i="3"/>
  <c r="D5" i="3"/>
  <c r="D10" i="3"/>
  <c r="F10" i="3" s="1"/>
  <c r="H10" i="3" s="1"/>
  <c r="E55" i="4"/>
  <c r="E54" i="4" s="1"/>
  <c r="E52" i="4"/>
  <c r="E27" i="5"/>
  <c r="E25" i="5"/>
  <c r="E28" i="5" s="1"/>
  <c r="E26" i="5"/>
  <c r="E47" i="5"/>
  <c r="E50" i="5"/>
  <c r="D26" i="5"/>
  <c r="D27" i="5"/>
  <c r="D25" i="5"/>
  <c r="D52" i="5"/>
  <c r="D55" i="5"/>
  <c r="D54" i="5" s="1"/>
  <c r="D27" i="4"/>
  <c r="D25" i="4"/>
  <c r="D28" i="4" s="1"/>
  <c r="D30" i="4" s="1"/>
  <c r="D31" i="4" s="1"/>
  <c r="D26" i="4"/>
  <c r="D47" i="4"/>
  <c r="D50" i="4"/>
  <c r="F5" i="3"/>
  <c r="H5" i="3" s="1"/>
  <c r="D35" i="4"/>
  <c r="D40" i="4"/>
  <c r="D53" i="4" s="1"/>
  <c r="E35" i="5"/>
  <c r="E40" i="5"/>
  <c r="E53" i="5" s="1"/>
  <c r="E26" i="4"/>
  <c r="D47" i="5"/>
  <c r="D51" i="5"/>
  <c r="D50" i="5" s="1"/>
  <c r="F6" i="3"/>
  <c r="C34" i="3"/>
  <c r="C35" i="3" s="1"/>
  <c r="C36" i="3" s="1"/>
  <c r="E25" i="4"/>
  <c r="E28" i="4" s="1"/>
  <c r="E30" i="4" s="1"/>
  <c r="E27" i="4"/>
  <c r="C38" i="3" l="1"/>
  <c r="G6" i="3"/>
  <c r="H6" i="3" s="1"/>
  <c r="D43" i="4"/>
  <c r="D34" i="4"/>
  <c r="E31" i="4"/>
  <c r="D55" i="4"/>
  <c r="D54" i="4" s="1"/>
  <c r="D52" i="4"/>
  <c r="E30" i="5"/>
  <c r="E31" i="5" s="1"/>
  <c r="D28" i="5"/>
  <c r="E55" i="5"/>
  <c r="E54" i="5" s="1"/>
  <c r="E52" i="5"/>
  <c r="E34" i="5" l="1"/>
  <c r="E43" i="5" s="1"/>
  <c r="D46" i="4"/>
  <c r="D56" i="4" s="1"/>
  <c r="D58" i="4" s="1"/>
  <c r="D67" i="4" s="1"/>
  <c r="D57" i="4"/>
  <c r="E34" i="4"/>
  <c r="E43" i="4" s="1"/>
  <c r="D30" i="5"/>
  <c r="D31" i="5" s="1"/>
  <c r="D34" i="5" l="1"/>
  <c r="D43" i="5" s="1"/>
  <c r="E46" i="4"/>
  <c r="E56" i="4" s="1"/>
  <c r="E58" i="4" s="1"/>
  <c r="E67" i="4" s="1"/>
  <c r="E57" i="4"/>
  <c r="E46" i="5"/>
  <c r="E56" i="5" s="1"/>
  <c r="E58" i="5" s="1"/>
  <c r="E65" i="5" s="1"/>
  <c r="E57" i="5"/>
  <c r="D46" i="5" l="1"/>
  <c r="D56" i="5" s="1"/>
  <c r="D57" i="5"/>
  <c r="D58" i="5" l="1"/>
  <c r="D65" i="5" s="1"/>
</calcChain>
</file>

<file path=xl/sharedStrings.xml><?xml version="1.0" encoding="utf-8"?>
<sst xmlns="http://schemas.openxmlformats.org/spreadsheetml/2006/main" count="282" uniqueCount="161">
  <si>
    <t>Year (n)</t>
  </si>
  <si>
    <t>CEPCI Index Value</t>
  </si>
  <si>
    <r>
      <t>Cost Index Ratio (Value</t>
    </r>
    <r>
      <rPr>
        <vertAlign val="subscript"/>
        <sz val="11"/>
        <color theme="1"/>
        <rFont val="Calibri"/>
        <family val="2"/>
        <scheme val="minor"/>
      </rPr>
      <t>2019</t>
    </r>
    <r>
      <rPr>
        <sz val="11"/>
        <color theme="1"/>
        <rFont val="Calibri"/>
        <family val="2"/>
        <scheme val="minor"/>
      </rPr>
      <t>/Value</t>
    </r>
    <r>
      <rPr>
        <vertAlign val="subscript"/>
        <sz val="11"/>
        <color theme="1"/>
        <rFont val="Calibri"/>
        <family val="2"/>
        <scheme val="minor"/>
      </rPr>
      <t>n</t>
    </r>
    <r>
      <rPr>
        <sz val="11"/>
        <color theme="1"/>
        <rFont val="Calibri"/>
        <family val="2"/>
        <scheme val="minor"/>
      </rPr>
      <t>)</t>
    </r>
  </si>
  <si>
    <t>DRAFT</t>
  </si>
  <si>
    <t>Annualized Capital Cost  (2018 dollars)</t>
  </si>
  <si>
    <t>Total annual cost 2019 Dollars</t>
  </si>
  <si>
    <t>Unit</t>
  </si>
  <si>
    <t>SO2 reduction option</t>
  </si>
  <si>
    <t>Capital Cost (2018 dollars)</t>
  </si>
  <si>
    <t>Emission Reductions (Avg Month Basis)</t>
  </si>
  <si>
    <t>Cost-effectiveness  ($2019/ton)</t>
  </si>
  <si>
    <t>New downstream scrubber</t>
  </si>
  <si>
    <t>increased scrubbing reagent use</t>
  </si>
  <si>
    <t>Wet FGD low</t>
  </si>
  <si>
    <t>Wet FGD high</t>
  </si>
  <si>
    <t>Dry FGD low</t>
  </si>
  <si>
    <t>Dry FGD high</t>
  </si>
  <si>
    <t>30 yr</t>
  </si>
  <si>
    <t>CRF = (i(1+i)^n)/(((1+i)^n)-1)</t>
  </si>
  <si>
    <t>interest</t>
  </si>
  <si>
    <t>n (remaining useful life or RUL)</t>
  </si>
  <si>
    <t>Notes</t>
  </si>
  <si>
    <t>Average % SO2 Removal during 3-year period (2011 - 2013)</t>
  </si>
  <si>
    <t>Obtained from AR020.0188 Domtar PB2_Cost 2011-2013</t>
  </si>
  <si>
    <t>2017 - 2019 Annual Average Emissions for Power Boiler No. 2  (AA)</t>
  </si>
  <si>
    <t>Assuming scrubbers are curently achieving ~69.3 % SO2 removal,   U=  100% uncontrolled SO2 emissions :</t>
  </si>
  <si>
    <t>U x (1 - 0.693) = Actual Controlled Emission Rate (i.e., 69.3% control efficiency)</t>
  </si>
  <si>
    <t>U x (1  -0.693) = 859.8 SO2 tpy</t>
  </si>
  <si>
    <t>U= 2801 SO2 tpy</t>
  </si>
  <si>
    <t>Annual Emissions Reductions:</t>
  </si>
  <si>
    <t>Total Emissions Reductions from operating scrubbers at 90% Control Efficiency (TC)</t>
  </si>
  <si>
    <t>TC = 0.90*U</t>
  </si>
  <si>
    <t>Controlled SO2 Emission Rate (90% Control Efficiency)   (CR)</t>
  </si>
  <si>
    <t>CR = U-TC</t>
  </si>
  <si>
    <t>Annual Emissions Reductions from Increasing Control Efficiency 69.3% to 90%=  (IER)</t>
  </si>
  <si>
    <t>IER=AA-CR</t>
  </si>
  <si>
    <t>Effective Incremental Control Efficiency</t>
  </si>
  <si>
    <t>IER/AA</t>
  </si>
  <si>
    <r>
      <rPr>
        <b/>
        <sz val="10"/>
        <color rgb="FF002060"/>
        <rFont val="Times New Roman"/>
        <family val="1"/>
      </rPr>
      <t>SNCR</t>
    </r>
    <r>
      <rPr>
        <b/>
        <sz val="10"/>
        <color theme="1"/>
        <rFont val="Times New Roman"/>
        <family val="1"/>
      </rPr>
      <t xml:space="preserve"> Capital and O&amp;M Cost Estimate for No. 2 Power Boiler</t>
    </r>
  </si>
  <si>
    <t>Technology</t>
  </si>
  <si>
    <t>SNCR</t>
  </si>
  <si>
    <t>Case 1</t>
  </si>
  <si>
    <t>Case 2</t>
  </si>
  <si>
    <t>Parameters/Costs</t>
  </si>
  <si>
    <r>
      <t>Equation</t>
    </r>
    <r>
      <rPr>
        <vertAlign val="superscript"/>
        <sz val="10"/>
        <color theme="1"/>
        <rFont val="Times New Roman"/>
        <family val="1"/>
      </rPr>
      <t>1</t>
    </r>
  </si>
  <si>
    <t>Unit 2</t>
  </si>
  <si>
    <r>
      <t>Boiler design capacity, mmBtu/hr (Q</t>
    </r>
    <r>
      <rPr>
        <vertAlign val="subscript"/>
        <sz val="10"/>
        <color theme="1"/>
        <rFont val="Times New Roman"/>
        <family val="1"/>
      </rPr>
      <t>B</t>
    </r>
    <r>
      <rPr>
        <sz val="10"/>
        <color theme="1"/>
        <rFont val="Times New Roman"/>
        <family val="1"/>
      </rPr>
      <t>)</t>
    </r>
  </si>
  <si>
    <r>
      <t>Q</t>
    </r>
    <r>
      <rPr>
        <vertAlign val="subscript"/>
        <sz val="10"/>
        <color theme="1"/>
        <rFont val="Times New Roman"/>
        <family val="1"/>
      </rPr>
      <t>B</t>
    </r>
  </si>
  <si>
    <r>
      <t>Total operating time (t</t>
    </r>
    <r>
      <rPr>
        <vertAlign val="subscript"/>
        <sz val="10"/>
        <color theme="1"/>
        <rFont val="Times New Roman"/>
        <family val="1"/>
      </rPr>
      <t>op</t>
    </r>
    <r>
      <rPr>
        <sz val="10"/>
        <color theme="1"/>
        <rFont val="Times New Roman"/>
        <family val="1"/>
      </rPr>
      <t>, hrs/yr)</t>
    </r>
  </si>
  <si>
    <r>
      <t>t</t>
    </r>
    <r>
      <rPr>
        <vertAlign val="subscript"/>
        <sz val="10"/>
        <color theme="1"/>
        <rFont val="Times New Roman"/>
        <family val="1"/>
      </rPr>
      <t>op</t>
    </r>
    <r>
      <rPr>
        <sz val="10"/>
        <color theme="1"/>
        <rFont val="Times New Roman"/>
        <family val="1"/>
      </rPr>
      <t xml:space="preserve"> = CF</t>
    </r>
    <r>
      <rPr>
        <vertAlign val="subscript"/>
        <sz val="10"/>
        <color theme="1"/>
        <rFont val="Times New Roman"/>
        <family val="1"/>
      </rPr>
      <t>total</t>
    </r>
    <r>
      <rPr>
        <sz val="10"/>
        <color theme="1"/>
        <rFont val="Times New Roman"/>
        <family val="1"/>
      </rPr>
      <t xml:space="preserve"> × 8760 hrs/yr</t>
    </r>
  </si>
  <si>
    <r>
      <t>Total Capacity Factor (CF</t>
    </r>
    <r>
      <rPr>
        <vertAlign val="subscript"/>
        <sz val="10"/>
        <color theme="1"/>
        <rFont val="Times New Roman"/>
        <family val="1"/>
      </rPr>
      <t>total</t>
    </r>
    <r>
      <rPr>
        <sz val="10"/>
        <color theme="1"/>
        <rFont val="Times New Roman"/>
        <family val="1"/>
      </rPr>
      <t>)</t>
    </r>
  </si>
  <si>
    <r>
      <t>CF</t>
    </r>
    <r>
      <rPr>
        <vertAlign val="subscript"/>
        <sz val="10"/>
        <color theme="1"/>
        <rFont val="Times New Roman"/>
        <family val="1"/>
      </rPr>
      <t>total</t>
    </r>
    <r>
      <rPr>
        <sz val="10"/>
        <color theme="1"/>
        <rFont val="Times New Roman"/>
        <family val="1"/>
      </rPr>
      <t xml:space="preserve"> = CF</t>
    </r>
    <r>
      <rPr>
        <vertAlign val="subscript"/>
        <sz val="10"/>
        <color theme="1"/>
        <rFont val="Times New Roman"/>
        <family val="1"/>
      </rPr>
      <t xml:space="preserve">plant </t>
    </r>
    <r>
      <rPr>
        <sz val="10"/>
        <color theme="1"/>
        <rFont val="Times New Roman"/>
        <family val="1"/>
      </rPr>
      <t>× CF</t>
    </r>
    <r>
      <rPr>
        <vertAlign val="subscript"/>
        <sz val="10"/>
        <color theme="1"/>
        <rFont val="Times New Roman"/>
        <family val="1"/>
      </rPr>
      <t>SNCR</t>
    </r>
  </si>
  <si>
    <r>
      <t>Plant Capacity Factor (CF</t>
    </r>
    <r>
      <rPr>
        <vertAlign val="subscript"/>
        <sz val="10"/>
        <color theme="1"/>
        <rFont val="Times New Roman"/>
        <family val="1"/>
      </rPr>
      <t>plant</t>
    </r>
    <r>
      <rPr>
        <sz val="10"/>
        <color theme="1"/>
        <rFont val="Times New Roman"/>
        <family val="1"/>
      </rPr>
      <t>)</t>
    </r>
    <r>
      <rPr>
        <vertAlign val="superscript"/>
        <sz val="10"/>
        <color theme="1"/>
        <rFont val="Times New Roman"/>
        <family val="1"/>
      </rPr>
      <t>2</t>
    </r>
  </si>
  <si>
    <r>
      <t>SNCR Capacity Factor (CF</t>
    </r>
    <r>
      <rPr>
        <vertAlign val="subscript"/>
        <sz val="10"/>
        <color theme="1"/>
        <rFont val="Times New Roman"/>
        <family val="1"/>
      </rPr>
      <t>SCNR</t>
    </r>
    <r>
      <rPr>
        <sz val="10"/>
        <color theme="1"/>
        <rFont val="Times New Roman"/>
        <family val="1"/>
      </rPr>
      <t>)</t>
    </r>
    <r>
      <rPr>
        <vertAlign val="superscript"/>
        <sz val="10"/>
        <color theme="1"/>
        <rFont val="Times New Roman"/>
        <family val="1"/>
      </rPr>
      <t>3</t>
    </r>
  </si>
  <si>
    <r>
      <t>CF</t>
    </r>
    <r>
      <rPr>
        <vertAlign val="subscript"/>
        <sz val="10"/>
        <color theme="1"/>
        <rFont val="Times New Roman"/>
        <family val="1"/>
      </rPr>
      <t xml:space="preserve">SNCR </t>
    </r>
    <r>
      <rPr>
        <sz val="10"/>
        <color theme="1"/>
        <rFont val="Times New Roman"/>
        <family val="1"/>
      </rPr>
      <t>= t</t>
    </r>
    <r>
      <rPr>
        <vertAlign val="subscript"/>
        <sz val="10"/>
        <color theme="1"/>
        <rFont val="Times New Roman"/>
        <family val="1"/>
      </rPr>
      <t>SNCR</t>
    </r>
    <r>
      <rPr>
        <sz val="10"/>
        <color theme="1"/>
        <rFont val="Times New Roman"/>
        <family val="1"/>
      </rPr>
      <t xml:space="preserve">/365 </t>
    </r>
  </si>
  <si>
    <r>
      <t>Electricity Cost (Cost</t>
    </r>
    <r>
      <rPr>
        <vertAlign val="subscript"/>
        <sz val="10"/>
        <color theme="1"/>
        <rFont val="Times New Roman"/>
        <family val="1"/>
      </rPr>
      <t>elect</t>
    </r>
    <r>
      <rPr>
        <sz val="10"/>
        <color theme="1"/>
        <rFont val="Times New Roman"/>
        <family val="1"/>
      </rPr>
      <t>, $/kwh)</t>
    </r>
    <r>
      <rPr>
        <vertAlign val="superscript"/>
        <sz val="10"/>
        <color theme="1"/>
        <rFont val="Times New Roman"/>
        <family val="1"/>
      </rPr>
      <t>6</t>
    </r>
  </si>
  <si>
    <r>
      <t>Water Cost (Cost</t>
    </r>
    <r>
      <rPr>
        <vertAlign val="subscript"/>
        <sz val="10"/>
        <color theme="1"/>
        <rFont val="Times New Roman"/>
        <family val="1"/>
      </rPr>
      <t>water</t>
    </r>
    <r>
      <rPr>
        <sz val="10"/>
        <color theme="1"/>
        <rFont val="Times New Roman"/>
        <family val="1"/>
      </rPr>
      <t>, $/gal)</t>
    </r>
    <r>
      <rPr>
        <vertAlign val="superscript"/>
        <sz val="10"/>
        <color theme="1"/>
        <rFont val="Times New Roman"/>
        <family val="1"/>
      </rPr>
      <t>7</t>
    </r>
  </si>
  <si>
    <r>
      <t>Coal Cost (Cost</t>
    </r>
    <r>
      <rPr>
        <vertAlign val="subscript"/>
        <sz val="10"/>
        <color theme="1"/>
        <rFont val="Times New Roman"/>
        <family val="1"/>
      </rPr>
      <t>coal</t>
    </r>
    <r>
      <rPr>
        <sz val="10"/>
        <color theme="1"/>
        <rFont val="Times New Roman"/>
        <family val="1"/>
      </rPr>
      <t>, $/MMBtu)</t>
    </r>
    <r>
      <rPr>
        <vertAlign val="superscript"/>
        <sz val="10"/>
        <color theme="1"/>
        <rFont val="Times New Roman"/>
        <family val="1"/>
      </rPr>
      <t>8</t>
    </r>
  </si>
  <si>
    <r>
      <t>Coal HHV (Btu/lb)</t>
    </r>
    <r>
      <rPr>
        <vertAlign val="superscript"/>
        <sz val="10"/>
        <color theme="1"/>
        <rFont val="Times New Roman"/>
        <family val="1"/>
      </rPr>
      <t>9</t>
    </r>
  </si>
  <si>
    <r>
      <t>Cost of Ash Disposal (C</t>
    </r>
    <r>
      <rPr>
        <vertAlign val="subscript"/>
        <sz val="10"/>
        <color theme="1"/>
        <rFont val="Times New Roman"/>
        <family val="1"/>
      </rPr>
      <t>ash</t>
    </r>
    <r>
      <rPr>
        <sz val="10"/>
        <color theme="1"/>
        <rFont val="Times New Roman"/>
        <family val="1"/>
      </rPr>
      <t>, $/ton)</t>
    </r>
    <r>
      <rPr>
        <vertAlign val="superscript"/>
        <sz val="10"/>
        <color theme="1"/>
        <rFont val="Times New Roman"/>
        <family val="1"/>
      </rPr>
      <t>10</t>
    </r>
  </si>
  <si>
    <t>Capital recovery factor (CRF)</t>
  </si>
  <si>
    <t>CRF = [ I x (1+i)^a]/[(1+i)^a - 1], where I = interest rate, a = equipment life</t>
  </si>
  <si>
    <r>
      <t xml:space="preserve">a.  Equipment CRF, </t>
    </r>
    <r>
      <rPr>
        <sz val="10"/>
        <color rgb="FF002060"/>
        <rFont val="Times New Roman"/>
        <family val="1"/>
      </rPr>
      <t>20</t>
    </r>
    <r>
      <rPr>
        <sz val="10"/>
        <color theme="1"/>
        <rFont val="Times New Roman"/>
        <family val="1"/>
      </rPr>
      <t>-yr life, 3.25% interest</t>
    </r>
  </si>
  <si>
    <r>
      <t>Cost Index</t>
    </r>
    <r>
      <rPr>
        <vertAlign val="superscript"/>
        <sz val="10"/>
        <color theme="1"/>
        <rFont val="Times New Roman"/>
        <family val="1"/>
      </rPr>
      <t>11</t>
    </r>
  </si>
  <si>
    <r>
      <t xml:space="preserve">a.  </t>
    </r>
    <r>
      <rPr>
        <sz val="10"/>
        <color rgb="FF002060"/>
        <rFont val="Times New Roman"/>
        <family val="1"/>
      </rPr>
      <t>2019</t>
    </r>
    <r>
      <rPr>
        <sz val="10"/>
        <color theme="1"/>
        <rFont val="Times New Roman"/>
        <family val="1"/>
      </rPr>
      <t xml:space="preserve"> Cost Index</t>
    </r>
  </si>
  <si>
    <t>b. 1998 Cost Index</t>
  </si>
  <si>
    <t xml:space="preserve">Capital Costs </t>
  </si>
  <si>
    <t>Direct Capital Cost (A)</t>
  </si>
  <si>
    <r>
      <t>DC ($) = ($950/MMBtu) × Q</t>
    </r>
    <r>
      <rPr>
        <vertAlign val="subscript"/>
        <sz val="10"/>
        <color theme="1"/>
        <rFont val="Times New Roman"/>
        <family val="1"/>
      </rPr>
      <t>B</t>
    </r>
    <r>
      <rPr>
        <sz val="10"/>
        <color theme="1"/>
        <rFont val="Times New Roman"/>
        <family val="1"/>
      </rPr>
      <t xml:space="preserve"> × ((2375 MMBtu/hr/Q</t>
    </r>
    <r>
      <rPr>
        <vertAlign val="subscript"/>
        <sz val="10"/>
        <color theme="1"/>
        <rFont val="Times New Roman"/>
        <family val="1"/>
      </rPr>
      <t>B</t>
    </r>
    <r>
      <rPr>
        <sz val="10"/>
        <color theme="1"/>
        <rFont val="Times New Roman"/>
        <family val="1"/>
      </rPr>
      <t>)^0.577) × (0.66 + 0.85η</t>
    </r>
    <r>
      <rPr>
        <vertAlign val="subscript"/>
        <sz val="10"/>
        <color theme="1"/>
        <rFont val="Times New Roman"/>
        <family val="1"/>
      </rPr>
      <t>NOx</t>
    </r>
    <r>
      <rPr>
        <sz val="10"/>
        <color theme="1"/>
        <rFont val="Times New Roman"/>
        <family val="1"/>
      </rPr>
      <t>) × (CI</t>
    </r>
    <r>
      <rPr>
        <vertAlign val="subscript"/>
        <sz val="10"/>
        <color theme="1"/>
        <rFont val="Times New Roman"/>
        <family val="1"/>
      </rPr>
      <t>2012</t>
    </r>
    <r>
      <rPr>
        <sz val="10"/>
        <color theme="1"/>
        <rFont val="Times New Roman"/>
        <family val="1"/>
      </rPr>
      <t>/CI</t>
    </r>
    <r>
      <rPr>
        <vertAlign val="subscript"/>
        <sz val="10"/>
        <color theme="1"/>
        <rFont val="Times New Roman"/>
        <family val="1"/>
      </rPr>
      <t>1998</t>
    </r>
    <r>
      <rPr>
        <sz val="10"/>
        <color theme="1"/>
        <rFont val="Times New Roman"/>
        <family val="1"/>
      </rPr>
      <t>)</t>
    </r>
  </si>
  <si>
    <t>Indirect Installation Costs ($)</t>
  </si>
  <si>
    <t>General Facilities</t>
  </si>
  <si>
    <t>0.05 × A</t>
  </si>
  <si>
    <t>Engineering and Home Office Fees</t>
  </si>
  <si>
    <t>0.10 × A</t>
  </si>
  <si>
    <t xml:space="preserve">Process Contingency </t>
  </si>
  <si>
    <t>Total Indirect Installation Costs (B)</t>
  </si>
  <si>
    <t>= General Facilities Cost + Engineering and Home Office Fees + Process Contingency</t>
  </si>
  <si>
    <t>Other Installation Costs ($)</t>
  </si>
  <si>
    <t>Project Contingency (C)</t>
  </si>
  <si>
    <t>C = 0.15 × (A + B)</t>
  </si>
  <si>
    <t>Total Plant Cost (D)</t>
  </si>
  <si>
    <t>D = A + B + C</t>
  </si>
  <si>
    <t>Allowance for Funds During Construction (E)</t>
  </si>
  <si>
    <t>E = 0 (Assumed for SNCR)</t>
  </si>
  <si>
    <t>Royalty Allowance (F)</t>
  </si>
  <si>
    <t>F = 0 (Assumed for SNCR)</t>
  </si>
  <si>
    <t>Preproduction Cost (G)</t>
  </si>
  <si>
    <t>G = 0.02 × (D + E)</t>
  </si>
  <si>
    <r>
      <t>Inventory Capital (H)</t>
    </r>
    <r>
      <rPr>
        <vertAlign val="superscript"/>
        <sz val="10"/>
        <color theme="1"/>
        <rFont val="Times New Roman"/>
        <family val="1"/>
      </rPr>
      <t>12</t>
    </r>
  </si>
  <si>
    <r>
      <t>H = Vol</t>
    </r>
    <r>
      <rPr>
        <vertAlign val="subscript"/>
        <sz val="10"/>
        <color theme="1"/>
        <rFont val="Times New Roman"/>
        <family val="1"/>
      </rPr>
      <t>reagent</t>
    </r>
    <r>
      <rPr>
        <sz val="10"/>
        <color theme="1"/>
        <rFont val="Times New Roman"/>
        <family val="1"/>
      </rPr>
      <t xml:space="preserve"> (gal) × Cost</t>
    </r>
    <r>
      <rPr>
        <vertAlign val="subscript"/>
        <sz val="10"/>
        <color theme="1"/>
        <rFont val="Times New Roman"/>
        <family val="1"/>
      </rPr>
      <t>reagent</t>
    </r>
    <r>
      <rPr>
        <sz val="10"/>
        <color theme="1"/>
        <rFont val="Times New Roman"/>
        <family val="1"/>
      </rPr>
      <t xml:space="preserve"> ($/gal)</t>
    </r>
  </si>
  <si>
    <r>
      <t>Cost</t>
    </r>
    <r>
      <rPr>
        <vertAlign val="subscript"/>
        <sz val="10"/>
        <color theme="1"/>
        <rFont val="Times New Roman"/>
        <family val="1"/>
      </rPr>
      <t>reag</t>
    </r>
    <r>
      <rPr>
        <sz val="10"/>
        <color theme="1"/>
        <rFont val="Times New Roman"/>
        <family val="1"/>
      </rPr>
      <t>, 50% Urea solution ($/gal)</t>
    </r>
    <r>
      <rPr>
        <vertAlign val="superscript"/>
        <sz val="10"/>
        <color theme="1"/>
        <rFont val="Times New Roman"/>
        <family val="1"/>
      </rPr>
      <t>13</t>
    </r>
  </si>
  <si>
    <r>
      <t>Volume of Reagent Tank (Vol</t>
    </r>
    <r>
      <rPr>
        <vertAlign val="subscript"/>
        <sz val="10"/>
        <color theme="1"/>
        <rFont val="Times New Roman"/>
        <family val="1"/>
      </rPr>
      <t>reagent</t>
    </r>
    <r>
      <rPr>
        <sz val="10"/>
        <color theme="1"/>
        <rFont val="Times New Roman"/>
        <family val="1"/>
      </rPr>
      <t xml:space="preserve"> (gal))</t>
    </r>
  </si>
  <si>
    <r>
      <t>Vol</t>
    </r>
    <r>
      <rPr>
        <vertAlign val="subscript"/>
        <sz val="10"/>
        <color theme="1"/>
        <rFont val="Times New Roman"/>
        <family val="1"/>
      </rPr>
      <t>reagent</t>
    </r>
    <r>
      <rPr>
        <sz val="10"/>
        <color theme="1"/>
        <rFont val="Times New Roman"/>
        <family val="1"/>
      </rPr>
      <t xml:space="preserve"> (gal) = q</t>
    </r>
    <r>
      <rPr>
        <vertAlign val="subscript"/>
        <sz val="10"/>
        <color theme="1"/>
        <rFont val="Times New Roman"/>
        <family val="1"/>
      </rPr>
      <t>sol</t>
    </r>
    <r>
      <rPr>
        <sz val="10"/>
        <color theme="1"/>
        <rFont val="Times New Roman"/>
        <family val="1"/>
      </rPr>
      <t xml:space="preserve"> x days of reagent supply × 24 hr/day</t>
    </r>
  </si>
  <si>
    <r>
      <t>Urea solution volumetric flow rate (q</t>
    </r>
    <r>
      <rPr>
        <vertAlign val="subscript"/>
        <sz val="10"/>
        <color theme="1"/>
        <rFont val="Times New Roman"/>
        <family val="1"/>
      </rPr>
      <t>sol</t>
    </r>
    <r>
      <rPr>
        <sz val="10"/>
        <color theme="1"/>
        <rFont val="Times New Roman"/>
        <family val="1"/>
      </rPr>
      <t>, gal/hr)</t>
    </r>
    <r>
      <rPr>
        <vertAlign val="superscript"/>
        <sz val="10"/>
        <color theme="1"/>
        <rFont val="Times New Roman"/>
        <family val="1"/>
      </rPr>
      <t>14</t>
    </r>
  </si>
  <si>
    <t>Estimated by SNCR vendor, Fuel Tech</t>
  </si>
  <si>
    <r>
      <t>Mass flow rate of urea solution (m</t>
    </r>
    <r>
      <rPr>
        <vertAlign val="subscript"/>
        <sz val="10"/>
        <color theme="1"/>
        <rFont val="Times New Roman"/>
        <family val="1"/>
      </rPr>
      <t>sol</t>
    </r>
    <r>
      <rPr>
        <sz val="10"/>
        <color theme="1"/>
        <rFont val="Times New Roman"/>
        <family val="1"/>
      </rPr>
      <t>, lb/hr)</t>
    </r>
    <r>
      <rPr>
        <vertAlign val="superscript"/>
        <sz val="10"/>
        <color theme="1"/>
        <rFont val="Times New Roman"/>
        <family val="1"/>
      </rPr>
      <t>15</t>
    </r>
  </si>
  <si>
    <r>
      <t>Mass flow rate of reagent (m</t>
    </r>
    <r>
      <rPr>
        <vertAlign val="subscript"/>
        <sz val="10"/>
        <color theme="1"/>
        <rFont val="Times New Roman"/>
        <family val="1"/>
      </rPr>
      <t>reagent</t>
    </r>
    <r>
      <rPr>
        <sz val="10"/>
        <color theme="1"/>
        <rFont val="Times New Roman"/>
        <family val="1"/>
      </rPr>
      <t>, lb/hr)</t>
    </r>
    <r>
      <rPr>
        <vertAlign val="superscript"/>
        <sz val="10"/>
        <color theme="1"/>
        <rFont val="Times New Roman"/>
        <family val="1"/>
      </rPr>
      <t>15</t>
    </r>
  </si>
  <si>
    <t>Normalized Stoichiometric Ratio (NSR)</t>
  </si>
  <si>
    <t>Not needed since usage estimates were provided</t>
  </si>
  <si>
    <t>Initial Catalyst and Chemicals (I)</t>
  </si>
  <si>
    <t>I = 0 (Assumed for SNCR due to no catalyst)</t>
  </si>
  <si>
    <t xml:space="preserve">Total Capital Investment (TCI) (Capital Cost) </t>
  </si>
  <si>
    <t>TCI = D + E + F + G + H + I</t>
  </si>
  <si>
    <t>Annual Costs ($)</t>
  </si>
  <si>
    <t>Annual Maintenance Cost (J)</t>
  </si>
  <si>
    <t>J = 0.015 × TCI</t>
  </si>
  <si>
    <t>Annual Reagent Cost (K)</t>
  </si>
  <si>
    <r>
      <t>K = q</t>
    </r>
    <r>
      <rPr>
        <vertAlign val="subscript"/>
        <sz val="10"/>
        <color theme="1"/>
        <rFont val="Times New Roman"/>
        <family val="1"/>
      </rPr>
      <t>sol</t>
    </r>
    <r>
      <rPr>
        <sz val="10"/>
        <color theme="1"/>
        <rFont val="Times New Roman"/>
        <family val="1"/>
      </rPr>
      <t xml:space="preserve"> × Cost</t>
    </r>
    <r>
      <rPr>
        <vertAlign val="subscript"/>
        <sz val="10"/>
        <color theme="1"/>
        <rFont val="Times New Roman"/>
        <family val="1"/>
      </rPr>
      <t>reag</t>
    </r>
    <r>
      <rPr>
        <sz val="10"/>
        <color theme="1"/>
        <rFont val="Times New Roman"/>
        <family val="1"/>
      </rPr>
      <t xml:space="preserve"> × t</t>
    </r>
    <r>
      <rPr>
        <vertAlign val="subscript"/>
        <sz val="10"/>
        <color theme="1"/>
        <rFont val="Times New Roman"/>
        <family val="1"/>
      </rPr>
      <t>op</t>
    </r>
  </si>
  <si>
    <t>Annual Electricity Cost (L)</t>
  </si>
  <si>
    <t>Not Estimated</t>
  </si>
  <si>
    <t>Power (P, kW)</t>
  </si>
  <si>
    <t>Annual Water Cost (M)</t>
  </si>
  <si>
    <r>
      <t>M = q</t>
    </r>
    <r>
      <rPr>
        <vertAlign val="subscript"/>
        <sz val="10"/>
        <color theme="1"/>
        <rFont val="Times New Roman"/>
        <family val="1"/>
      </rPr>
      <t>water</t>
    </r>
    <r>
      <rPr>
        <sz val="10"/>
        <color theme="1"/>
        <rFont val="Times New Roman"/>
        <family val="1"/>
      </rPr>
      <t xml:space="preserve"> × Cost</t>
    </r>
    <r>
      <rPr>
        <vertAlign val="subscript"/>
        <sz val="10"/>
        <color theme="1"/>
        <rFont val="Times New Roman"/>
        <family val="1"/>
      </rPr>
      <t>water</t>
    </r>
    <r>
      <rPr>
        <sz val="10"/>
        <color theme="1"/>
        <rFont val="Times New Roman"/>
        <family val="1"/>
      </rPr>
      <t xml:space="preserve"> × t</t>
    </r>
    <r>
      <rPr>
        <vertAlign val="subscript"/>
        <sz val="10"/>
        <color theme="1"/>
        <rFont val="Times New Roman"/>
        <family val="1"/>
      </rPr>
      <t>op</t>
    </r>
  </si>
  <si>
    <r>
      <t>Water flowrate for SNCR system (q</t>
    </r>
    <r>
      <rPr>
        <vertAlign val="subscript"/>
        <sz val="10"/>
        <color theme="1"/>
        <rFont val="Times New Roman"/>
        <family val="1"/>
      </rPr>
      <t>water</t>
    </r>
    <r>
      <rPr>
        <sz val="10"/>
        <color theme="1"/>
        <rFont val="Times New Roman"/>
        <family val="1"/>
      </rPr>
      <t>, gal/hr)</t>
    </r>
    <r>
      <rPr>
        <vertAlign val="superscript"/>
        <sz val="10"/>
        <color theme="1"/>
        <rFont val="Times New Roman"/>
        <family val="1"/>
      </rPr>
      <t>17</t>
    </r>
  </si>
  <si>
    <r>
      <t>q</t>
    </r>
    <r>
      <rPr>
        <vertAlign val="subscript"/>
        <sz val="10"/>
        <color theme="1"/>
        <rFont val="Times New Roman"/>
        <family val="1"/>
      </rPr>
      <t>water</t>
    </r>
    <r>
      <rPr>
        <sz val="10"/>
        <color theme="1"/>
        <rFont val="Times New Roman"/>
        <family val="1"/>
      </rPr>
      <t xml:space="preserve"> = (m</t>
    </r>
    <r>
      <rPr>
        <vertAlign val="subscript"/>
        <sz val="10"/>
        <color theme="1"/>
        <rFont val="Times New Roman"/>
        <family val="1"/>
      </rPr>
      <t>sol</t>
    </r>
    <r>
      <rPr>
        <sz val="10"/>
        <color theme="1"/>
        <rFont val="Times New Roman"/>
        <family val="1"/>
      </rPr>
      <t>/ρ</t>
    </r>
    <r>
      <rPr>
        <vertAlign val="subscript"/>
        <sz val="10"/>
        <color theme="1"/>
        <rFont val="Times New Roman"/>
        <family val="1"/>
      </rPr>
      <t>water</t>
    </r>
    <r>
      <rPr>
        <sz val="10"/>
        <color theme="1"/>
        <rFont val="Times New Roman"/>
        <family val="1"/>
      </rPr>
      <t>) × [(C</t>
    </r>
    <r>
      <rPr>
        <vertAlign val="subscript"/>
        <sz val="10"/>
        <color theme="1"/>
        <rFont val="Times New Roman"/>
        <family val="1"/>
      </rPr>
      <t>ureasolstored</t>
    </r>
    <r>
      <rPr>
        <sz val="10"/>
        <color theme="1"/>
        <rFont val="Times New Roman"/>
        <family val="1"/>
      </rPr>
      <t>/C</t>
    </r>
    <r>
      <rPr>
        <vertAlign val="subscript"/>
        <sz val="10"/>
        <color theme="1"/>
        <rFont val="Times New Roman"/>
        <family val="1"/>
      </rPr>
      <t>ureasolinj</t>
    </r>
    <r>
      <rPr>
        <sz val="10"/>
        <color theme="1"/>
        <rFont val="Times New Roman"/>
        <family val="1"/>
      </rPr>
      <t>) - 1]</t>
    </r>
  </si>
  <si>
    <t>Annual ΔCoal Cost (N)</t>
  </si>
  <si>
    <r>
      <t>N = ΔCoal × Cost</t>
    </r>
    <r>
      <rPr>
        <vertAlign val="subscript"/>
        <sz val="10"/>
        <color theme="1"/>
        <rFont val="Times New Roman"/>
        <family val="1"/>
      </rPr>
      <t>coal</t>
    </r>
    <r>
      <rPr>
        <sz val="10"/>
        <color theme="1"/>
        <rFont val="Times New Roman"/>
        <family val="1"/>
      </rPr>
      <t xml:space="preserve"> × t</t>
    </r>
    <r>
      <rPr>
        <vertAlign val="subscript"/>
        <sz val="10"/>
        <color theme="1"/>
        <rFont val="Times New Roman"/>
        <family val="1"/>
      </rPr>
      <t>op</t>
    </r>
    <r>
      <rPr>
        <sz val="10"/>
        <color theme="1"/>
        <rFont val="Times New Roman"/>
        <family val="1"/>
      </rPr>
      <t xml:space="preserve">  </t>
    </r>
  </si>
  <si>
    <r>
      <t>Additional coal required (ΔCoal, MMBtu/hr)</t>
    </r>
    <r>
      <rPr>
        <vertAlign val="superscript"/>
        <sz val="10"/>
        <color theme="1"/>
        <rFont val="Times New Roman"/>
        <family val="1"/>
      </rPr>
      <t>18</t>
    </r>
  </si>
  <si>
    <r>
      <t>ΔCoal = (Hv × m</t>
    </r>
    <r>
      <rPr>
        <vertAlign val="subscript"/>
        <sz val="10"/>
        <color theme="1"/>
        <rFont val="Times New Roman"/>
        <family val="1"/>
      </rPr>
      <t>reagent</t>
    </r>
    <r>
      <rPr>
        <sz val="10"/>
        <color theme="1"/>
        <rFont val="Times New Roman"/>
        <family val="1"/>
      </rPr>
      <t xml:space="preserve"> × [(1/C</t>
    </r>
    <r>
      <rPr>
        <vertAlign val="subscript"/>
        <sz val="10"/>
        <color theme="1"/>
        <rFont val="Times New Roman"/>
        <family val="1"/>
      </rPr>
      <t>ureasolinj</t>
    </r>
    <r>
      <rPr>
        <sz val="10"/>
        <color theme="1"/>
        <rFont val="Times New Roman"/>
        <family val="1"/>
      </rPr>
      <t>) - 1])/10</t>
    </r>
    <r>
      <rPr>
        <vertAlign val="superscript"/>
        <sz val="10"/>
        <color theme="1"/>
        <rFont val="Times New Roman"/>
        <family val="1"/>
      </rPr>
      <t>6</t>
    </r>
    <r>
      <rPr>
        <sz val="10"/>
        <color theme="1"/>
        <rFont val="Times New Roman"/>
        <family val="1"/>
      </rPr>
      <t xml:space="preserve"> Btu/MMBtu</t>
    </r>
  </si>
  <si>
    <t>Annual ΔAsh Cost (O)</t>
  </si>
  <si>
    <r>
      <t>O = (ΔAsh × Cost</t>
    </r>
    <r>
      <rPr>
        <vertAlign val="subscript"/>
        <sz val="10"/>
        <color theme="1"/>
        <rFont val="Times New Roman"/>
        <family val="1"/>
      </rPr>
      <t>ash</t>
    </r>
    <r>
      <rPr>
        <sz val="10"/>
        <color theme="1"/>
        <rFont val="Times New Roman"/>
        <family val="1"/>
      </rPr>
      <t xml:space="preserve"> × t</t>
    </r>
    <r>
      <rPr>
        <vertAlign val="subscript"/>
        <sz val="10"/>
        <color theme="1"/>
        <rFont val="Times New Roman"/>
        <family val="1"/>
      </rPr>
      <t>op</t>
    </r>
    <r>
      <rPr>
        <sz val="10"/>
        <color theme="1"/>
        <rFont val="Times New Roman"/>
        <family val="1"/>
      </rPr>
      <t>)/2000 lb/ton</t>
    </r>
  </si>
  <si>
    <r>
      <t>Additional ash generated (ΔAsh , lb/hr)</t>
    </r>
    <r>
      <rPr>
        <vertAlign val="superscript"/>
        <sz val="10"/>
        <color theme="1"/>
        <rFont val="Times New Roman"/>
        <family val="1"/>
      </rPr>
      <t>19</t>
    </r>
  </si>
  <si>
    <r>
      <t>ΔAsh = (ΔCoal × ashproduct × 10</t>
    </r>
    <r>
      <rPr>
        <vertAlign val="superscript"/>
        <sz val="10"/>
        <color theme="1"/>
        <rFont val="Times New Roman"/>
        <family val="1"/>
      </rPr>
      <t>6</t>
    </r>
    <r>
      <rPr>
        <sz val="10"/>
        <color theme="1"/>
        <rFont val="Times New Roman"/>
        <family val="1"/>
      </rPr>
      <t xml:space="preserve"> Btu/MMBtu)/HHV</t>
    </r>
  </si>
  <si>
    <t>Direct Annual Costs (DAC)/Variable O&amp;M</t>
  </si>
  <si>
    <t xml:space="preserve">DAC = J + K + L + M + N + O  </t>
  </si>
  <si>
    <t>Indirect Annual Costs (IDAC)/Annualized Capital Cost</t>
  </si>
  <si>
    <t>IDAC = CFR × TCI</t>
  </si>
  <si>
    <t>Total Annualized Costs (TAC)</t>
  </si>
  <si>
    <t>TAC = DAC + IDAC</t>
  </si>
  <si>
    <t>Removal Efficiency When Operating</t>
  </si>
  <si>
    <t>Post-Control Emissions (tpy)</t>
  </si>
  <si>
    <t>Post-Control Emissions (lb/MMBtu)</t>
  </si>
  <si>
    <r>
      <t xml:space="preserve">Based on </t>
    </r>
    <r>
      <rPr>
        <b/>
        <i/>
        <sz val="10"/>
        <color rgb="FF002060"/>
        <rFont val="Times New Roman"/>
        <family val="1"/>
      </rPr>
      <t>average Annual</t>
    </r>
    <r>
      <rPr>
        <b/>
        <sz val="10"/>
        <color rgb="FF002060"/>
        <rFont val="Times New Roman"/>
        <family val="1"/>
      </rPr>
      <t xml:space="preserve"> Emission Rates:</t>
    </r>
  </si>
  <si>
    <t>Total Uncontrolled NOx Emissions (tpy)</t>
  </si>
  <si>
    <t>Pollutant Removed (tpy)</t>
  </si>
  <si>
    <t>Cost Effectiveness ($/ton removed)</t>
  </si>
  <si>
    <r>
      <rPr>
        <vertAlign val="superscript"/>
        <sz val="10"/>
        <color theme="1"/>
        <rFont val="Times New Roman"/>
        <family val="1"/>
      </rPr>
      <t>1</t>
    </r>
    <r>
      <rPr>
        <sz val="10"/>
        <color theme="1"/>
        <rFont val="Times New Roman"/>
        <family val="1"/>
      </rPr>
      <t xml:space="preserve"> All SNCR costing equations from EPA Air Pollution Control Cost Manual (APCCM), 6th Edition (January 2002)</t>
    </r>
  </si>
  <si>
    <r>
      <rPr>
        <vertAlign val="superscript"/>
        <sz val="10"/>
        <color theme="1"/>
        <rFont val="Times New Roman"/>
        <family val="1"/>
      </rPr>
      <t xml:space="preserve">2 </t>
    </r>
    <r>
      <rPr>
        <sz val="10"/>
        <color theme="1"/>
        <rFont val="Times New Roman"/>
        <family val="1"/>
      </rPr>
      <t>Average from 2001 - 2003.</t>
    </r>
  </si>
  <si>
    <r>
      <rPr>
        <vertAlign val="superscript"/>
        <sz val="10"/>
        <color theme="1"/>
        <rFont val="Times New Roman"/>
        <family val="1"/>
      </rPr>
      <t>3</t>
    </r>
    <r>
      <rPr>
        <sz val="10"/>
        <color theme="1"/>
        <rFont val="Times New Roman"/>
        <family val="1"/>
      </rPr>
      <t xml:space="preserve"> t</t>
    </r>
    <r>
      <rPr>
        <vertAlign val="subscript"/>
        <sz val="10"/>
        <color theme="1"/>
        <rFont val="Times New Roman"/>
        <family val="1"/>
      </rPr>
      <t>SCNR</t>
    </r>
    <r>
      <rPr>
        <sz val="10"/>
        <color theme="1"/>
        <rFont val="Times New Roman"/>
        <family val="1"/>
      </rPr>
      <t xml:space="preserve"> for case 1 assumed to be 25.55 days (7% of 365)</t>
    </r>
  </si>
  <si>
    <t>tSCNR for case 2 assumed to be 365 days (365 of 365)</t>
  </si>
  <si>
    <r>
      <rPr>
        <vertAlign val="superscript"/>
        <sz val="10"/>
        <color theme="1"/>
        <rFont val="Times New Roman"/>
        <family val="1"/>
      </rPr>
      <t xml:space="preserve">5 </t>
    </r>
    <r>
      <rPr>
        <sz val="10"/>
        <color theme="1"/>
        <rFont val="Times New Roman"/>
        <family val="1"/>
      </rPr>
      <t>Baseline.</t>
    </r>
  </si>
  <si>
    <r>
      <rPr>
        <vertAlign val="superscript"/>
        <sz val="10"/>
        <color theme="1"/>
        <rFont val="Times New Roman"/>
        <family val="1"/>
      </rPr>
      <t>6</t>
    </r>
    <r>
      <rPr>
        <sz val="10"/>
        <color theme="1"/>
        <rFont val="Times New Roman"/>
        <family val="1"/>
      </rPr>
      <t xml:space="preserve"> Electricity cost form Arkansas Industrial Energy Clearinghouse, http://www.arkansasiec.org/newsmanager/templates/?a=71&amp;z=1</t>
    </r>
  </si>
  <si>
    <r>
      <rPr>
        <vertAlign val="superscript"/>
        <sz val="10"/>
        <color theme="1"/>
        <rFont val="Times New Roman"/>
        <family val="1"/>
      </rPr>
      <t>7</t>
    </r>
    <r>
      <rPr>
        <sz val="10"/>
        <color theme="1"/>
        <rFont val="Times New Roman"/>
        <family val="1"/>
      </rPr>
      <t xml:space="preserve"> Water cost estimate from Ashdown Mill 2013 Budget.</t>
    </r>
  </si>
  <si>
    <r>
      <rPr>
        <vertAlign val="superscript"/>
        <sz val="10"/>
        <color theme="1"/>
        <rFont val="Times New Roman"/>
        <family val="1"/>
      </rPr>
      <t xml:space="preserve">8 </t>
    </r>
    <r>
      <rPr>
        <sz val="10"/>
        <color theme="1"/>
        <rFont val="Times New Roman"/>
        <family val="1"/>
      </rPr>
      <t>Cost of coal from Lazard's 2009 Levelized Cost of Energy Analysis (LCOE)</t>
    </r>
  </si>
  <si>
    <r>
      <rPr>
        <vertAlign val="superscript"/>
        <sz val="10"/>
        <color theme="1"/>
        <rFont val="Times New Roman"/>
        <family val="1"/>
      </rPr>
      <t>9</t>
    </r>
    <r>
      <rPr>
        <sz val="10"/>
        <color theme="1"/>
        <rFont val="Times New Roman"/>
        <family val="1"/>
      </rPr>
      <t xml:space="preserve"> Average from 2001 - 2003.</t>
    </r>
  </si>
  <si>
    <r>
      <rPr>
        <vertAlign val="superscript"/>
        <sz val="10"/>
        <color theme="1"/>
        <rFont val="Times New Roman"/>
        <family val="1"/>
      </rPr>
      <t>10</t>
    </r>
    <r>
      <rPr>
        <sz val="10"/>
        <color theme="1"/>
        <rFont val="Times New Roman"/>
        <family val="1"/>
      </rPr>
      <t xml:space="preserve"> Ash disposal cost estimate from contracts for ash transport, end use (as soil amendment), and ash pond management.</t>
    </r>
  </si>
  <si>
    <r>
      <rPr>
        <vertAlign val="superscript"/>
        <sz val="10"/>
        <color theme="1"/>
        <rFont val="Times New Roman"/>
        <family val="1"/>
      </rPr>
      <t>11</t>
    </r>
    <r>
      <rPr>
        <sz val="10"/>
        <color theme="1"/>
        <rFont val="Times New Roman"/>
        <family val="1"/>
      </rPr>
      <t xml:space="preserve"> From Chemical Engineering Plant Cost Index (CEPCI) </t>
    </r>
  </si>
  <si>
    <r>
      <rPr>
        <vertAlign val="superscript"/>
        <sz val="10"/>
        <color theme="1"/>
        <rFont val="Times New Roman"/>
        <family val="1"/>
      </rPr>
      <t>12</t>
    </r>
    <r>
      <rPr>
        <sz val="10"/>
        <color theme="1"/>
        <rFont val="Times New Roman"/>
        <family val="1"/>
      </rPr>
      <t xml:space="preserve"> Cost for urea stored on site, i.e., the first fill of the reagent tanks.  </t>
    </r>
  </si>
  <si>
    <r>
      <rPr>
        <vertAlign val="superscript"/>
        <sz val="10"/>
        <color theme="1"/>
        <rFont val="Times New Roman"/>
        <family val="1"/>
      </rPr>
      <t xml:space="preserve">13 </t>
    </r>
    <r>
      <rPr>
        <sz val="10"/>
        <color theme="1"/>
        <rFont val="Times New Roman"/>
        <family val="1"/>
      </rPr>
      <t>Five-yr average urea cost = $373/metric ton, from http://www.indexmundi.com/commodities/?commodity=urea&amp;months=180.  Confirmed as an accurate price with a local supplier, CDI, Inc. (Corporate office: Brea, CA; Local distribution point: Crossett, AR) on January 27, 2014.
Density of 50% urea solution = 9.5 lb/gal (50% urea solution) based on EPA APCCM, 2002.</t>
    </r>
  </si>
  <si>
    <r>
      <rPr>
        <vertAlign val="superscript"/>
        <sz val="10"/>
        <color theme="1"/>
        <rFont val="Times New Roman"/>
        <family val="1"/>
      </rPr>
      <t>14</t>
    </r>
    <r>
      <rPr>
        <sz val="10"/>
        <color theme="1"/>
        <rFont val="Times New Roman"/>
        <family val="1"/>
      </rPr>
      <t xml:space="preserve"> ρ</t>
    </r>
    <r>
      <rPr>
        <vertAlign val="subscript"/>
        <sz val="10"/>
        <color theme="1"/>
        <rFont val="Times New Roman"/>
        <family val="1"/>
      </rPr>
      <t>reagent</t>
    </r>
    <r>
      <rPr>
        <sz val="10"/>
        <color theme="1"/>
        <rFont val="Times New Roman"/>
        <family val="1"/>
      </rPr>
      <t xml:space="preserve"> = 71.0 lb/ft</t>
    </r>
    <r>
      <rPr>
        <vertAlign val="superscript"/>
        <sz val="10"/>
        <color theme="1"/>
        <rFont val="Times New Roman"/>
        <family val="1"/>
      </rPr>
      <t>3</t>
    </r>
  </si>
  <si>
    <r>
      <rPr>
        <vertAlign val="superscript"/>
        <sz val="10"/>
        <color theme="1"/>
        <rFont val="Times New Roman"/>
        <family val="1"/>
      </rPr>
      <t>15</t>
    </r>
    <r>
      <rPr>
        <sz val="10"/>
        <color theme="1"/>
        <rFont val="Times New Roman"/>
        <family val="1"/>
      </rPr>
      <t xml:space="preserve"> C</t>
    </r>
    <r>
      <rPr>
        <vertAlign val="subscript"/>
        <sz val="10"/>
        <color theme="1"/>
        <rFont val="Times New Roman"/>
        <family val="1"/>
      </rPr>
      <t>ureasol</t>
    </r>
    <r>
      <rPr>
        <sz val="10"/>
        <color theme="1"/>
        <rFont val="Times New Roman"/>
        <family val="1"/>
      </rPr>
      <t xml:space="preserve"> = urea solution concentration = 50%</t>
    </r>
  </si>
  <si>
    <r>
      <rPr>
        <vertAlign val="superscript"/>
        <sz val="10"/>
        <color theme="1"/>
        <rFont val="Times New Roman"/>
        <family val="1"/>
      </rPr>
      <t>17</t>
    </r>
    <r>
      <rPr>
        <sz val="10"/>
        <color theme="1"/>
        <rFont val="Times New Roman"/>
        <family val="1"/>
      </rPr>
      <t xml:space="preserve"> Concentration of stored urea, C</t>
    </r>
    <r>
      <rPr>
        <vertAlign val="subscript"/>
        <sz val="10"/>
        <color theme="1"/>
        <rFont val="Times New Roman"/>
        <family val="1"/>
      </rPr>
      <t>ureasolstored</t>
    </r>
    <r>
      <rPr>
        <sz val="10"/>
        <color theme="1"/>
        <rFont val="Times New Roman"/>
        <family val="1"/>
      </rPr>
      <t xml:space="preserve"> = 50%
    Concentration of urea injected into SNCR system, C</t>
    </r>
    <r>
      <rPr>
        <vertAlign val="subscript"/>
        <sz val="10"/>
        <color theme="1"/>
        <rFont val="Times New Roman"/>
        <family val="1"/>
      </rPr>
      <t>ureasolinj</t>
    </r>
    <r>
      <rPr>
        <sz val="10"/>
        <color theme="1"/>
        <rFont val="Times New Roman"/>
        <family val="1"/>
      </rPr>
      <t xml:space="preserve"> = 10%
    From EPA APCCM, 2002</t>
    </r>
  </si>
  <si>
    <r>
      <rPr>
        <vertAlign val="superscript"/>
        <sz val="10"/>
        <color theme="1"/>
        <rFont val="Times New Roman"/>
        <family val="1"/>
      </rPr>
      <t>18</t>
    </r>
    <r>
      <rPr>
        <sz val="10"/>
        <color theme="1"/>
        <rFont val="Times New Roman"/>
        <family val="1"/>
      </rPr>
      <t xml:space="preserve"> Approximate heat of vaporization of water at 310°F, Hv = 900 Btu/lb
    From EPA APCCM, 2002</t>
    </r>
  </si>
  <si>
    <r>
      <rPr>
        <vertAlign val="superscript"/>
        <sz val="10"/>
        <color theme="1"/>
        <rFont val="Times New Roman"/>
        <family val="1"/>
      </rPr>
      <t xml:space="preserve">19 </t>
    </r>
    <r>
      <rPr>
        <sz val="10"/>
        <color theme="1"/>
        <rFont val="Times New Roman"/>
        <family val="1"/>
      </rPr>
      <t>Ashproduct is the fraction of ash produced as a byproduct of burning a given type of coal.  Assumed ashproduct = 0.075 from EPA APCCM, 2002 for subbituminous coal.</t>
    </r>
  </si>
  <si>
    <r>
      <rPr>
        <b/>
        <sz val="10"/>
        <color rgb="FF002060"/>
        <rFont val="Times New Roman"/>
        <family val="1"/>
      </rPr>
      <t>SNCR</t>
    </r>
    <r>
      <rPr>
        <b/>
        <sz val="10"/>
        <color theme="1"/>
        <rFont val="Times New Roman"/>
        <family val="1"/>
      </rPr>
      <t xml:space="preserve"> Capital and O&amp;M Cost Estimate for No. 3 Power Boiler</t>
    </r>
  </si>
  <si>
    <t>Unit 3</t>
  </si>
  <si>
    <r>
      <t>DC ($) = ($950/MMBtu) × Q</t>
    </r>
    <r>
      <rPr>
        <vertAlign val="subscript"/>
        <sz val="10"/>
        <color theme="1"/>
        <rFont val="Times New Roman"/>
        <family val="1"/>
      </rPr>
      <t>B</t>
    </r>
    <r>
      <rPr>
        <sz val="10"/>
        <color theme="1"/>
        <rFont val="Times New Roman"/>
        <family val="1"/>
      </rPr>
      <t xml:space="preserve"> × ((2375 MMBtu/hr/Q</t>
    </r>
    <r>
      <rPr>
        <vertAlign val="subscript"/>
        <sz val="10"/>
        <color theme="1"/>
        <rFont val="Times New Roman"/>
        <family val="1"/>
      </rPr>
      <t>B</t>
    </r>
    <r>
      <rPr>
        <sz val="10"/>
        <color theme="1"/>
        <rFont val="Times New Roman"/>
        <family val="1"/>
      </rPr>
      <t>)^0.577) × (0.66 + 0.85η</t>
    </r>
    <r>
      <rPr>
        <vertAlign val="subscript"/>
        <sz val="10"/>
        <color theme="1"/>
        <rFont val="Times New Roman"/>
        <family val="1"/>
      </rPr>
      <t>NOx</t>
    </r>
    <r>
      <rPr>
        <sz val="10"/>
        <color theme="1"/>
        <rFont val="Times New Roman"/>
        <family val="1"/>
      </rPr>
      <t>) × (CI</t>
    </r>
    <r>
      <rPr>
        <vertAlign val="subscript"/>
        <sz val="10"/>
        <color theme="1"/>
        <rFont val="Times New Roman"/>
        <family val="1"/>
      </rPr>
      <t>2011</t>
    </r>
    <r>
      <rPr>
        <sz val="10"/>
        <color theme="1"/>
        <rFont val="Times New Roman"/>
        <family val="1"/>
      </rPr>
      <t>/CI</t>
    </r>
    <r>
      <rPr>
        <vertAlign val="subscript"/>
        <sz val="10"/>
        <color theme="1"/>
        <rFont val="Times New Roman"/>
        <family val="1"/>
      </rPr>
      <t>1998</t>
    </r>
    <r>
      <rPr>
        <sz val="10"/>
        <color theme="1"/>
        <rFont val="Times New Roman"/>
        <family val="1"/>
      </rPr>
      <t>)</t>
    </r>
  </si>
  <si>
    <t>Removal Efficiency</t>
  </si>
  <si>
    <r>
      <rPr>
        <vertAlign val="superscript"/>
        <sz val="10"/>
        <color theme="1"/>
        <rFont val="Times New Roman"/>
        <family val="1"/>
      </rPr>
      <t>3</t>
    </r>
    <r>
      <rPr>
        <sz val="10"/>
        <color theme="1"/>
        <rFont val="Times New Roman"/>
        <family val="1"/>
      </rPr>
      <t xml:space="preserve"> Case 1 t</t>
    </r>
    <r>
      <rPr>
        <vertAlign val="subscript"/>
        <sz val="10"/>
        <color theme="1"/>
        <rFont val="Times New Roman"/>
        <family val="1"/>
      </rPr>
      <t>SCNR</t>
    </r>
    <r>
      <rPr>
        <sz val="10"/>
        <color theme="1"/>
        <rFont val="Times New Roman"/>
        <family val="1"/>
      </rPr>
      <t xml:space="preserve"> assumed to be 25.55 days (7% of 365)</t>
    </r>
  </si>
  <si>
    <t>Case 2 tSCNR assumed to be 365 days</t>
  </si>
  <si>
    <t>Annual Direct and Indirect/Operations and Maintenance (2018 dollars)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</si>
</sst>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_(* #,##0_);_(* \(#,##0\);_(* &quot;-&quot;??_);_(@_)"/>
    <numFmt numFmtId="165" formatCode="&quot;$&quot;#,##0.00"/>
    <numFmt numFmtId="166" formatCode="&quot;$&quot;#,##0.00000"/>
    <numFmt numFmtId="167" formatCode="0.0000"/>
    <numFmt numFmtId="168" formatCode="0.0"/>
    <numFmt numFmtId="169" formatCode="&quot;$&quot;#,##0"/>
    <numFmt numFmtId="170" formatCode="#,##0.0"/>
    <numFmt numFmtId="171" formatCode="0.0%"/>
    <numFmt numFmtId="172" formatCode="0.000"/>
    <numFmt numFmtId="173" formatCode="&quot;$&quot;#,##0.00\ ;\(&quot;$&quot;#,##0.00\)"/>
    <numFmt numFmtId="174" formatCode="&quot;$&quot;#,##0\ ;\(&quot;$&quot;#,##0\)"/>
  </numFmts>
  <fonts count="26"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vertAlign val="subscript"/>
      <sz val="11"/>
      <color theme="1"/>
      <name val="Calibri"/>
      <family val="2"/>
      <scheme val="minor"/>
    </font>
    <font>
      <b/>
      <u/>
      <sz val="11"/>
      <color theme="1"/>
      <name val="Calibri"/>
      <family val="2"/>
      <scheme val="minor"/>
    </font>
    <font>
      <sz val="10"/>
      <color theme="1"/>
      <name val="Times New Roman"/>
      <family val="1"/>
    </font>
    <font>
      <b/>
      <sz val="10"/>
      <color theme="1"/>
      <name val="Times New Roman"/>
      <family val="1"/>
    </font>
    <font>
      <b/>
      <sz val="10"/>
      <color rgb="FF002060"/>
      <name val="Times New Roman"/>
      <family val="1"/>
    </font>
    <font>
      <b/>
      <i/>
      <sz val="11"/>
      <color rgb="FF7F7F7F"/>
      <name val="Calibri"/>
      <family val="2"/>
      <scheme val="minor"/>
    </font>
    <font>
      <vertAlign val="superscript"/>
      <sz val="10"/>
      <color theme="1"/>
      <name val="Times New Roman"/>
      <family val="1"/>
    </font>
    <font>
      <vertAlign val="subscript"/>
      <sz val="10"/>
      <color theme="1"/>
      <name val="Times New Roman"/>
      <family val="1"/>
    </font>
    <font>
      <sz val="10"/>
      <name val="Times New Roman"/>
      <family val="1"/>
    </font>
    <font>
      <sz val="10"/>
      <color rgb="FF002060"/>
      <name val="Times New Roman"/>
      <family val="1"/>
    </font>
    <font>
      <sz val="10"/>
      <name val="Arial"/>
      <family val="2"/>
    </font>
    <font>
      <b/>
      <i/>
      <sz val="10"/>
      <color rgb="FF002060"/>
      <name val="Times New Roman"/>
      <family val="1"/>
    </font>
    <font>
      <u/>
      <sz val="11"/>
      <color theme="10"/>
      <name val="Calibri"/>
      <family val="2"/>
    </font>
    <font>
      <u/>
      <sz val="10"/>
      <color theme="10"/>
      <name val="Times New Roman"/>
      <family val="1"/>
    </font>
    <font>
      <sz val="12"/>
      <color indexed="24"/>
      <name val="Arial"/>
      <family val="2"/>
    </font>
    <font>
      <sz val="12"/>
      <name val="Arial"/>
      <family val="2"/>
    </font>
    <font>
      <b/>
      <sz val="18"/>
      <name val="Arial"/>
      <family val="2"/>
    </font>
    <font>
      <sz val="18"/>
      <color indexed="24"/>
      <name val="Arial"/>
      <family val="2"/>
    </font>
    <font>
      <b/>
      <sz val="12"/>
      <name val="Arial"/>
      <family val="2"/>
    </font>
    <font>
      <sz val="8"/>
      <color indexed="24"/>
      <name val="Arial"/>
      <family val="2"/>
    </font>
    <font>
      <sz val="11"/>
      <name val="Times New Roman"/>
      <family val="1"/>
    </font>
    <font>
      <sz val="18"/>
      <color theme="3"/>
      <name val="Cambria"/>
      <family val="2"/>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theme="0"/>
      </bottom>
      <diagonal/>
    </border>
    <border>
      <left style="thin">
        <color auto="1"/>
      </left>
      <right/>
      <top style="thin">
        <color auto="1"/>
      </top>
      <bottom/>
      <diagonal/>
    </border>
    <border>
      <left style="medium">
        <color indexed="64"/>
      </left>
      <right style="thin">
        <color indexed="64"/>
      </right>
      <top style="thin">
        <color theme="0"/>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theme="0"/>
      </bottom>
      <diagonal/>
    </border>
    <border>
      <left/>
      <right/>
      <top style="thin">
        <color indexed="64"/>
      </top>
      <bottom style="thin">
        <color theme="0"/>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theme="0"/>
      </top>
      <bottom style="thin">
        <color indexed="64"/>
      </bottom>
      <diagonal/>
    </border>
    <border>
      <left style="medium">
        <color indexed="64"/>
      </left>
      <right style="medium">
        <color indexed="64"/>
      </right>
      <top/>
      <bottom style="thin">
        <color indexed="64"/>
      </bottom>
      <diagonal/>
    </border>
    <border>
      <left/>
      <right/>
      <top style="thin">
        <color auto="1"/>
      </top>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theme="0"/>
      </left>
      <right style="medium">
        <color theme="0"/>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top style="thin">
        <color indexed="0"/>
      </top>
      <bottom style="double">
        <color indexed="0"/>
      </bottom>
      <diagonal/>
    </border>
    <border>
      <left/>
      <right/>
      <top style="double">
        <color indexed="64"/>
      </top>
      <bottom/>
      <diagonal/>
    </border>
  </borders>
  <cellStyleXfs count="12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4" fillId="0" borderId="0"/>
    <xf numFmtId="0" fontId="16" fillId="0" borderId="0" applyNumberFormat="0" applyFill="0" applyBorder="0" applyAlignment="0" applyProtection="0">
      <alignment vertical="top"/>
      <protection locked="0"/>
    </xf>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 fontId="18" fillId="0" borderId="0" applyFont="0" applyFill="0" applyBorder="0" applyAlignment="0" applyProtection="0"/>
    <xf numFmtId="4" fontId="18" fillId="0" borderId="0" applyFont="0" applyFill="0" applyBorder="0" applyAlignment="0" applyProtection="0"/>
    <xf numFmtId="4" fontId="18"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4" fillId="0" borderId="0" applyFont="0" applyFill="0" applyBorder="0" applyAlignment="0" applyProtection="0"/>
    <xf numFmtId="3" fontId="18" fillId="0" borderId="0" applyFont="0" applyFill="0" applyBorder="0" applyAlignment="0" applyProtection="0"/>
    <xf numFmtId="173" fontId="18" fillId="0" borderId="0" applyFont="0" applyFill="0" applyBorder="0" applyAlignment="0" applyProtection="0"/>
    <xf numFmtId="4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4" fontId="18" fillId="0" borderId="0" applyFont="0" applyFill="0" applyBorder="0" applyAlignment="0" applyProtection="0"/>
    <xf numFmtId="0" fontId="19" fillId="0" borderId="0" applyProtection="0"/>
    <xf numFmtId="0" fontId="19" fillId="0" borderId="0" applyProtection="0"/>
    <xf numFmtId="0" fontId="19" fillId="0" borderId="0" applyProtection="0"/>
    <xf numFmtId="0" fontId="18" fillId="0" borderId="0" applyFont="0" applyFill="0" applyBorder="0" applyAlignment="0" applyProtection="0"/>
    <xf numFmtId="2" fontId="19" fillId="0" borderId="0" applyProtection="0"/>
    <xf numFmtId="2" fontId="19" fillId="0" borderId="0" applyProtection="0"/>
    <xf numFmtId="2" fontId="19" fillId="0" borderId="0" applyProtection="0"/>
    <xf numFmtId="2" fontId="18" fillId="0" borderId="0" applyFont="0" applyFill="0" applyBorder="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0" fillId="0" borderId="0" applyNumberFormat="0" applyFont="0" applyFill="0" applyAlignment="0" applyProtection="0"/>
    <xf numFmtId="0" fontId="21" fillId="0" borderId="0" applyNumberFormat="0" applyFill="0" applyBorder="0" applyAlignment="0" applyProtection="0"/>
    <xf numFmtId="0" fontId="22" fillId="0" borderId="0" applyNumberFormat="0" applyFont="0" applyFill="0" applyAlignment="0" applyProtection="0"/>
    <xf numFmtId="0" fontId="22" fillId="0" borderId="0" applyNumberFormat="0" applyFont="0" applyFill="0" applyAlignment="0" applyProtection="0"/>
    <xf numFmtId="0" fontId="22" fillId="0" borderId="0" applyNumberFormat="0" applyFont="0" applyFill="0" applyAlignment="0" applyProtection="0"/>
    <xf numFmtId="0" fontId="22" fillId="0" borderId="0" applyNumberFormat="0" applyFont="0" applyFill="0" applyAlignment="0" applyProtection="0"/>
    <xf numFmtId="0" fontId="23" fillId="0" borderId="0" applyNumberFormat="0" applyFill="0" applyBorder="0" applyAlignment="0" applyProtection="0"/>
    <xf numFmtId="0" fontId="20" fillId="0" borderId="0" applyProtection="0"/>
    <xf numFmtId="0" fontId="20" fillId="0" borderId="0" applyProtection="0"/>
    <xf numFmtId="0" fontId="20" fillId="0" borderId="0" applyProtection="0"/>
    <xf numFmtId="0" fontId="22" fillId="0" borderId="0" applyProtection="0"/>
    <xf numFmtId="0" fontId="22" fillId="0" borderId="0" applyProtection="0"/>
    <xf numFmtId="0" fontId="22" fillId="0" borderId="0" applyProtection="0"/>
    <xf numFmtId="0" fontId="14" fillId="0" borderId="0"/>
    <xf numFmtId="0" fontId="14" fillId="0" borderId="0"/>
    <xf numFmtId="0" fontId="1" fillId="0" borderId="0"/>
    <xf numFmtId="0" fontId="2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8" fillId="0" borderId="0" applyFont="0" applyFill="0" applyBorder="0" applyAlignment="0" applyProtection="0"/>
    <xf numFmtId="0" fontId="25" fillId="0" borderId="0" applyNumberFormat="0" applyFill="0" applyBorder="0" applyAlignment="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9" fillId="0" borderId="50" applyProtection="0"/>
    <xf numFmtId="0" fontId="18" fillId="0" borderId="51" applyNumberFormat="0" applyFont="0" applyFill="0" applyAlignment="0" applyProtection="0"/>
  </cellStyleXfs>
  <cellXfs count="141">
    <xf numFmtId="0" fontId="0" fillId="0" borderId="0" xfId="0"/>
    <xf numFmtId="0" fontId="0" fillId="0" borderId="0" xfId="0" applyAlignment="1">
      <alignment horizontal="left"/>
    </xf>
    <xf numFmtId="0" fontId="0" fillId="0" borderId="0" xfId="0" applyNumberFormat="1"/>
    <xf numFmtId="0" fontId="0" fillId="0" borderId="1" xfId="0" applyBorder="1" applyAlignment="1">
      <alignment horizontal="center"/>
    </xf>
    <xf numFmtId="0" fontId="0" fillId="0" borderId="3" xfId="0" applyBorder="1"/>
    <xf numFmtId="43" fontId="0" fillId="0" borderId="3" xfId="1" applyFont="1" applyBorder="1"/>
    <xf numFmtId="164" fontId="0" fillId="0" borderId="3" xfId="1" applyNumberFormat="1" applyFont="1" applyBorder="1"/>
    <xf numFmtId="43" fontId="0" fillId="0" borderId="3" xfId="1" applyNumberFormat="1" applyFont="1" applyBorder="1"/>
    <xf numFmtId="0" fontId="0" fillId="0" borderId="0" xfId="0" applyFill="1"/>
    <xf numFmtId="164" fontId="0" fillId="0" borderId="0" xfId="1" applyNumberFormat="1" applyFont="1" applyFill="1" applyBorder="1"/>
    <xf numFmtId="0" fontId="0" fillId="0" borderId="0" xfId="0" applyBorder="1"/>
    <xf numFmtId="0" fontId="3" fillId="0" borderId="0" xfId="0" applyFont="1"/>
    <xf numFmtId="10" fontId="0" fillId="0" borderId="0" xfId="0" applyNumberFormat="1" applyFill="1"/>
    <xf numFmtId="0" fontId="0" fillId="0" borderId="0" xfId="0" applyBorder="1" applyAlignment="1">
      <alignment horizontal="center" wrapText="1"/>
    </xf>
    <xf numFmtId="9" fontId="0" fillId="0" borderId="0" xfId="2" applyFont="1"/>
    <xf numFmtId="2" fontId="0" fillId="0" borderId="0" xfId="0" applyNumberFormat="1"/>
    <xf numFmtId="0" fontId="0" fillId="0" borderId="0" xfId="0" applyAlignment="1">
      <alignment wrapText="1"/>
    </xf>
    <xf numFmtId="0" fontId="5" fillId="0" borderId="0" xfId="0" applyFont="1"/>
    <xf numFmtId="0" fontId="0" fillId="0" borderId="0" xfId="0" applyAlignment="1">
      <alignment horizontal="center" vertical="center"/>
    </xf>
    <xf numFmtId="0" fontId="6" fillId="0" borderId="6" xfId="0" applyFont="1" applyBorder="1"/>
    <xf numFmtId="0" fontId="7" fillId="0" borderId="0" xfId="0" applyFont="1"/>
    <xf numFmtId="0" fontId="6" fillId="0" borderId="0" xfId="0" applyFont="1"/>
    <xf numFmtId="0" fontId="6" fillId="0" borderId="9" xfId="0" applyFont="1" applyBorder="1"/>
    <xf numFmtId="0" fontId="6" fillId="0" borderId="10" xfId="0" applyFont="1" applyBorder="1"/>
    <xf numFmtId="0" fontId="6" fillId="0" borderId="11" xfId="0" applyFont="1" applyBorder="1"/>
    <xf numFmtId="0" fontId="6" fillId="2" borderId="12" xfId="0" applyFont="1" applyFill="1" applyBorder="1"/>
    <xf numFmtId="0" fontId="6" fillId="2" borderId="13" xfId="0" applyFont="1" applyFill="1" applyBorder="1"/>
    <xf numFmtId="0" fontId="6" fillId="2" borderId="14" xfId="0" applyFont="1" applyFill="1" applyBorder="1"/>
    <xf numFmtId="0" fontId="7" fillId="2" borderId="14" xfId="0" applyFont="1" applyFill="1" applyBorder="1"/>
    <xf numFmtId="0" fontId="6" fillId="2" borderId="15" xfId="0" applyFont="1" applyFill="1" applyBorder="1"/>
    <xf numFmtId="0" fontId="6" fillId="2" borderId="0" xfId="0" applyFont="1" applyFill="1" applyBorder="1"/>
    <xf numFmtId="0" fontId="6" fillId="2" borderId="16" xfId="0" applyFont="1" applyFill="1" applyBorder="1"/>
    <xf numFmtId="0" fontId="7" fillId="2" borderId="16" xfId="0" applyFont="1" applyFill="1" applyBorder="1"/>
    <xf numFmtId="0" fontId="6" fillId="2" borderId="17" xfId="0" applyFont="1" applyFill="1" applyBorder="1"/>
    <xf numFmtId="0" fontId="6" fillId="2" borderId="18" xfId="0" applyFont="1" applyFill="1" applyBorder="1"/>
    <xf numFmtId="0" fontId="2" fillId="2" borderId="19" xfId="3" applyFill="1" applyBorder="1" applyAlignment="1">
      <alignment horizontal="center"/>
    </xf>
    <xf numFmtId="0" fontId="9" fillId="2" borderId="19" xfId="3" applyFont="1" applyFill="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2" borderId="23" xfId="0" applyFont="1" applyFill="1" applyBorder="1"/>
    <xf numFmtId="0" fontId="6" fillId="2" borderId="24" xfId="0" applyFont="1" applyFill="1" applyBorder="1" applyAlignment="1">
      <alignment horizontal="center"/>
    </xf>
    <xf numFmtId="0" fontId="6" fillId="2" borderId="16" xfId="0" applyFont="1" applyFill="1" applyBorder="1" applyAlignment="1">
      <alignment horizontal="center"/>
    </xf>
    <xf numFmtId="0" fontId="6" fillId="2" borderId="25" xfId="0" applyFont="1" applyFill="1" applyBorder="1"/>
    <xf numFmtId="0" fontId="6" fillId="2" borderId="26" xfId="0" applyFont="1" applyFill="1" applyBorder="1" applyAlignment="1">
      <alignment horizontal="center"/>
    </xf>
    <xf numFmtId="2" fontId="6" fillId="2" borderId="16" xfId="0" applyNumberFormat="1" applyFont="1" applyFill="1" applyBorder="1" applyAlignment="1">
      <alignment horizontal="center"/>
    </xf>
    <xf numFmtId="0" fontId="6" fillId="2" borderId="27" xfId="0" applyFont="1" applyFill="1" applyBorder="1"/>
    <xf numFmtId="0" fontId="6" fillId="2" borderId="0" xfId="0" applyFont="1" applyFill="1" applyBorder="1" applyAlignment="1">
      <alignment horizontal="center"/>
    </xf>
    <xf numFmtId="165" fontId="6" fillId="2" borderId="16" xfId="0" applyNumberFormat="1" applyFont="1" applyFill="1" applyBorder="1" applyAlignment="1">
      <alignment horizontal="center"/>
    </xf>
    <xf numFmtId="166" fontId="12" fillId="0" borderId="16" xfId="0" applyNumberFormat="1" applyFont="1" applyFill="1" applyBorder="1" applyAlignment="1">
      <alignment horizontal="center"/>
    </xf>
    <xf numFmtId="165" fontId="12" fillId="0" borderId="16" xfId="0" applyNumberFormat="1" applyFont="1" applyFill="1" applyBorder="1" applyAlignment="1">
      <alignment horizontal="center"/>
    </xf>
    <xf numFmtId="3" fontId="6" fillId="2" borderId="16" xfId="0" applyNumberFormat="1" applyFont="1" applyFill="1" applyBorder="1" applyAlignment="1">
      <alignment horizontal="center"/>
    </xf>
    <xf numFmtId="0" fontId="6" fillId="0" borderId="28" xfId="0" applyFont="1" applyFill="1" applyBorder="1"/>
    <xf numFmtId="0" fontId="6" fillId="0" borderId="29" xfId="0" applyFont="1" applyFill="1" applyBorder="1" applyAlignment="1">
      <alignment horizontal="center" wrapText="1"/>
    </xf>
    <xf numFmtId="167" fontId="13" fillId="2" borderId="30" xfId="0" applyNumberFormat="1" applyFont="1" applyFill="1" applyBorder="1" applyAlignment="1">
      <alignment horizontal="center"/>
    </xf>
    <xf numFmtId="0" fontId="6" fillId="0" borderId="31" xfId="0" applyFont="1" applyBorder="1"/>
    <xf numFmtId="0" fontId="6" fillId="0" borderId="32" xfId="0" applyFont="1" applyFill="1" applyBorder="1" applyAlignment="1">
      <alignment horizontal="center"/>
    </xf>
    <xf numFmtId="0" fontId="6" fillId="2" borderId="33" xfId="0" applyFont="1" applyFill="1" applyBorder="1" applyAlignment="1">
      <alignment horizontal="center"/>
    </xf>
    <xf numFmtId="0" fontId="6" fillId="0" borderId="28" xfId="0" applyFont="1" applyBorder="1"/>
    <xf numFmtId="0" fontId="6" fillId="2" borderId="34" xfId="0" applyFont="1" applyFill="1" applyBorder="1" applyAlignment="1">
      <alignment horizontal="center"/>
    </xf>
    <xf numFmtId="0" fontId="6" fillId="2" borderId="30" xfId="0" applyFont="1" applyFill="1" applyBorder="1" applyAlignment="1">
      <alignment horizontal="center"/>
    </xf>
    <xf numFmtId="0" fontId="6" fillId="0" borderId="35" xfId="0" applyFont="1" applyFill="1" applyBorder="1"/>
    <xf numFmtId="0" fontId="13" fillId="2" borderId="0" xfId="0" applyFont="1" applyFill="1" applyBorder="1" applyAlignment="1">
      <alignment horizontal="center"/>
    </xf>
    <xf numFmtId="0" fontId="6" fillId="0" borderId="36" xfId="0" applyFont="1" applyFill="1" applyBorder="1"/>
    <xf numFmtId="168" fontId="6" fillId="2" borderId="37" xfId="0" applyNumberFormat="1" applyFont="1" applyFill="1" applyBorder="1" applyAlignment="1">
      <alignment horizontal="center"/>
    </xf>
    <xf numFmtId="0" fontId="7" fillId="0" borderId="38" xfId="0" applyFont="1" applyFill="1" applyBorder="1"/>
    <xf numFmtId="0" fontId="7" fillId="0" borderId="39" xfId="0" applyFont="1" applyFill="1" applyBorder="1"/>
    <xf numFmtId="169" fontId="6" fillId="0" borderId="40" xfId="0" applyNumberFormat="1" applyFont="1" applyFill="1" applyBorder="1" applyAlignment="1">
      <alignment horizontal="center"/>
    </xf>
    <xf numFmtId="0" fontId="6" fillId="2" borderId="41" xfId="0" applyFont="1" applyFill="1" applyBorder="1" applyAlignment="1">
      <alignment horizontal="center" vertical="center" wrapText="1"/>
    </xf>
    <xf numFmtId="0" fontId="6" fillId="0" borderId="24" xfId="0" applyFont="1" applyBorder="1" applyAlignment="1">
      <alignment horizontal="center" wrapText="1"/>
    </xf>
    <xf numFmtId="169" fontId="6" fillId="0" borderId="30" xfId="0" applyNumberFormat="1" applyFont="1" applyFill="1" applyBorder="1" applyAlignment="1">
      <alignment horizontal="center"/>
    </xf>
    <xf numFmtId="0" fontId="6" fillId="2" borderId="42" xfId="0" applyFont="1" applyFill="1" applyBorder="1"/>
    <xf numFmtId="0" fontId="6" fillId="2" borderId="43" xfId="0" applyFont="1" applyFill="1" applyBorder="1"/>
    <xf numFmtId="0" fontId="6" fillId="2" borderId="44" xfId="0" applyFont="1" applyFill="1" applyBorder="1"/>
    <xf numFmtId="169" fontId="6" fillId="2" borderId="16" xfId="0" applyNumberFormat="1" applyFont="1" applyFill="1" applyBorder="1" applyAlignment="1">
      <alignment horizontal="center"/>
    </xf>
    <xf numFmtId="49" fontId="6" fillId="2" borderId="0" xfId="0" applyNumberFormat="1" applyFont="1" applyFill="1" applyBorder="1" applyAlignment="1">
      <alignment horizontal="center" wrapText="1"/>
    </xf>
    <xf numFmtId="0" fontId="6" fillId="2" borderId="42" xfId="0" applyFont="1" applyFill="1" applyBorder="1" applyAlignment="1">
      <alignment horizontal="center"/>
    </xf>
    <xf numFmtId="169" fontId="6" fillId="2" borderId="44" xfId="0" applyNumberFormat="1" applyFont="1" applyFill="1" applyBorder="1" applyAlignment="1">
      <alignment horizontal="center"/>
    </xf>
    <xf numFmtId="0" fontId="6" fillId="0" borderId="0" xfId="0" applyFont="1" applyBorder="1"/>
    <xf numFmtId="0" fontId="6" fillId="0" borderId="27" xfId="0" applyFont="1" applyBorder="1"/>
    <xf numFmtId="0" fontId="6" fillId="0" borderId="26" xfId="0" applyFont="1" applyBorder="1" applyAlignment="1">
      <alignment horizontal="center"/>
    </xf>
    <xf numFmtId="170" fontId="12" fillId="0" borderId="16" xfId="0" applyNumberFormat="1" applyFont="1" applyFill="1" applyBorder="1" applyAlignment="1">
      <alignment horizontal="center"/>
    </xf>
    <xf numFmtId="4" fontId="6" fillId="2" borderId="16" xfId="0" applyNumberFormat="1" applyFont="1" applyFill="1" applyBorder="1" applyAlignment="1">
      <alignment horizontal="center"/>
    </xf>
    <xf numFmtId="0" fontId="7" fillId="2" borderId="45" xfId="0" applyFont="1" applyFill="1" applyBorder="1"/>
    <xf numFmtId="0" fontId="7" fillId="2" borderId="4" xfId="0" applyFont="1" applyFill="1" applyBorder="1" applyAlignment="1">
      <alignment horizontal="center"/>
    </xf>
    <xf numFmtId="0" fontId="7" fillId="2" borderId="17" xfId="0" applyFont="1" applyFill="1" applyBorder="1"/>
    <xf numFmtId="0" fontId="7" fillId="2" borderId="18" xfId="0" applyFont="1" applyFill="1" applyBorder="1" applyAlignment="1">
      <alignment horizontal="center"/>
    </xf>
    <xf numFmtId="169" fontId="6" fillId="2" borderId="19" xfId="0" applyNumberFormat="1" applyFont="1" applyFill="1" applyBorder="1" applyAlignment="1">
      <alignment horizontal="center"/>
    </xf>
    <xf numFmtId="0" fontId="6" fillId="0" borderId="40" xfId="0" applyFont="1" applyFill="1" applyBorder="1"/>
    <xf numFmtId="0" fontId="6" fillId="2" borderId="31" xfId="0" applyFont="1" applyFill="1" applyBorder="1"/>
    <xf numFmtId="2" fontId="6" fillId="2" borderId="33" xfId="0" applyNumberFormat="1" applyFont="1" applyFill="1" applyBorder="1" applyAlignment="1">
      <alignment horizontal="center"/>
    </xf>
    <xf numFmtId="0" fontId="7" fillId="2" borderId="41" xfId="0" applyFont="1" applyFill="1" applyBorder="1" applyAlignment="1">
      <alignment wrapText="1"/>
    </xf>
    <xf numFmtId="0" fontId="7" fillId="2" borderId="24" xfId="0" applyFont="1" applyFill="1" applyBorder="1" applyAlignment="1">
      <alignment horizontal="center"/>
    </xf>
    <xf numFmtId="169" fontId="12" fillId="2" borderId="30" xfId="0" applyNumberFormat="1" applyFont="1" applyFill="1" applyBorder="1" applyAlignment="1">
      <alignment horizontal="center"/>
    </xf>
    <xf numFmtId="0" fontId="7" fillId="2" borderId="38" xfId="0" applyFont="1" applyFill="1" applyBorder="1"/>
    <xf numFmtId="0" fontId="7" fillId="2" borderId="39" xfId="0" applyFont="1" applyFill="1" applyBorder="1" applyAlignment="1">
      <alignment horizontal="center"/>
    </xf>
    <xf numFmtId="169" fontId="13" fillId="2" borderId="40" xfId="0" applyNumberFormat="1" applyFont="1" applyFill="1" applyBorder="1" applyAlignment="1">
      <alignment horizontal="center"/>
    </xf>
    <xf numFmtId="0" fontId="12" fillId="0" borderId="15" xfId="4" applyFont="1" applyBorder="1" applyAlignment="1"/>
    <xf numFmtId="0" fontId="14" fillId="0" borderId="0" xfId="4" applyBorder="1" applyAlignment="1"/>
    <xf numFmtId="171" fontId="12" fillId="0" borderId="16" xfId="0" applyNumberFormat="1" applyFont="1" applyFill="1" applyBorder="1" applyAlignment="1">
      <alignment horizontal="center"/>
    </xf>
    <xf numFmtId="0" fontId="6" fillId="3" borderId="11" xfId="0" applyFont="1" applyFill="1" applyBorder="1"/>
    <xf numFmtId="0" fontId="12" fillId="3" borderId="15" xfId="4" applyFont="1" applyFill="1" applyBorder="1" applyAlignment="1">
      <alignment horizontal="left" indent="2"/>
    </xf>
    <xf numFmtId="0" fontId="14" fillId="3" borderId="0" xfId="4" applyFill="1" applyBorder="1" applyAlignment="1"/>
    <xf numFmtId="1" fontId="12" fillId="3" borderId="16" xfId="4" applyNumberFormat="1" applyFont="1" applyFill="1" applyBorder="1" applyAlignment="1">
      <alignment horizontal="center"/>
    </xf>
    <xf numFmtId="0" fontId="6" fillId="3" borderId="0" xfId="0" applyFont="1" applyFill="1"/>
    <xf numFmtId="172" fontId="12" fillId="3" borderId="16" xfId="4" applyNumberFormat="1" applyFont="1" applyFill="1" applyBorder="1" applyAlignment="1">
      <alignment horizontal="center"/>
    </xf>
    <xf numFmtId="0" fontId="8" fillId="0" borderId="12" xfId="4" applyFont="1" applyBorder="1" applyAlignment="1"/>
    <xf numFmtId="0" fontId="14" fillId="0" borderId="46" xfId="4" applyBorder="1" applyAlignment="1"/>
    <xf numFmtId="171" fontId="12" fillId="0" borderId="14" xfId="0" applyNumberFormat="1" applyFont="1" applyFill="1" applyBorder="1" applyAlignment="1">
      <alignment horizontal="center"/>
    </xf>
    <xf numFmtId="0" fontId="13" fillId="0" borderId="15" xfId="4" applyFont="1" applyBorder="1" applyAlignment="1">
      <alignment horizontal="left" indent="2"/>
    </xf>
    <xf numFmtId="3" fontId="12" fillId="0" borderId="16" xfId="4" applyNumberFormat="1" applyFont="1" applyBorder="1" applyAlignment="1">
      <alignment horizontal="center"/>
    </xf>
    <xf numFmtId="0" fontId="13" fillId="3" borderId="15" xfId="4" applyFont="1" applyFill="1" applyBorder="1" applyAlignment="1">
      <alignment horizontal="left" indent="2"/>
    </xf>
    <xf numFmtId="1" fontId="12" fillId="0" borderId="16" xfId="4" applyNumberFormat="1" applyFont="1" applyBorder="1" applyAlignment="1">
      <alignment horizontal="center"/>
    </xf>
    <xf numFmtId="0" fontId="8" fillId="2" borderId="17" xfId="0" applyFont="1" applyFill="1" applyBorder="1" applyAlignment="1">
      <alignment horizontal="left" indent="2"/>
    </xf>
    <xf numFmtId="169" fontId="13" fillId="2" borderId="19" xfId="0" applyNumberFormat="1" applyFont="1" applyFill="1" applyBorder="1" applyAlignment="1">
      <alignment horizontal="center"/>
    </xf>
    <xf numFmtId="0" fontId="8" fillId="2" borderId="0" xfId="0" applyFont="1" applyFill="1" applyBorder="1" applyAlignment="1">
      <alignment horizontal="left" indent="2"/>
    </xf>
    <xf numFmtId="0" fontId="7" fillId="2" borderId="0" xfId="0" applyFont="1" applyFill="1" applyBorder="1" applyAlignment="1">
      <alignment horizontal="center"/>
    </xf>
    <xf numFmtId="169" fontId="13"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5" fontId="7" fillId="2" borderId="0" xfId="0" applyNumberFormat="1" applyFont="1" applyFill="1" applyBorder="1" applyAlignment="1">
      <alignment horizontal="center"/>
    </xf>
    <xf numFmtId="165" fontId="8" fillId="2" borderId="0" xfId="0" applyNumberFormat="1" applyFont="1" applyFill="1" applyBorder="1" applyAlignment="1">
      <alignment horizontal="center"/>
    </xf>
    <xf numFmtId="0" fontId="6" fillId="0" borderId="9" xfId="0" applyFont="1" applyBorder="1" applyAlignment="1">
      <alignment vertical="top"/>
    </xf>
    <xf numFmtId="0" fontId="6" fillId="0" borderId="47" xfId="0" applyFont="1" applyBorder="1"/>
    <xf numFmtId="0" fontId="6" fillId="0" borderId="9" xfId="0" applyFont="1" applyBorder="1" applyAlignment="1">
      <alignment vertical="top" wrapText="1"/>
    </xf>
    <xf numFmtId="0" fontId="7" fillId="0" borderId="49" xfId="0" applyFont="1" applyFill="1" applyBorder="1" applyAlignment="1">
      <alignment vertical="top" wrapText="1"/>
    </xf>
    <xf numFmtId="0" fontId="6" fillId="0" borderId="0" xfId="0" applyFont="1" applyAlignment="1">
      <alignment vertical="top"/>
    </xf>
    <xf numFmtId="0" fontId="17" fillId="0" borderId="0" xfId="5" applyFont="1" applyAlignment="1" applyProtection="1"/>
    <xf numFmtId="0" fontId="6" fillId="0" borderId="0" xfId="0" applyFont="1" applyAlignment="1">
      <alignment horizontal="right"/>
    </xf>
    <xf numFmtId="0" fontId="7" fillId="0" borderId="22" xfId="0" applyFont="1"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2"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xf>
    <xf numFmtId="0" fontId="0" fillId="0" borderId="3" xfId="0" applyBorder="1" applyAlignment="1">
      <alignment horizontal="center" wrapText="1"/>
    </xf>
    <xf numFmtId="0" fontId="0" fillId="0" borderId="0" xfId="0" applyFont="1" applyAlignment="1">
      <alignment horizontal="left"/>
    </xf>
    <xf numFmtId="0" fontId="6" fillId="0" borderId="9" xfId="0" applyFont="1" applyBorder="1" applyAlignment="1">
      <alignment horizontal="left" vertical="top" wrapText="1"/>
    </xf>
    <xf numFmtId="0" fontId="7" fillId="0" borderId="7" xfId="0" applyFont="1" applyBorder="1" applyAlignment="1">
      <alignment horizontal="center"/>
    </xf>
    <xf numFmtId="0" fontId="7" fillId="0" borderId="8" xfId="0" applyFont="1" applyBorder="1" applyAlignment="1">
      <alignment horizontal="center"/>
    </xf>
    <xf numFmtId="0" fontId="6" fillId="0" borderId="11" xfId="0" applyFont="1" applyFill="1" applyBorder="1" applyAlignment="1">
      <alignment horizontal="left" vertical="top" wrapText="1"/>
    </xf>
    <xf numFmtId="0" fontId="6" fillId="0" borderId="48" xfId="0" applyFont="1" applyFill="1" applyBorder="1" applyAlignment="1">
      <alignment horizontal="left" vertical="top" wrapText="1"/>
    </xf>
  </cellXfs>
  <cellStyles count="124">
    <cellStyle name="Comma" xfId="1" builtinId="3"/>
    <cellStyle name="Comma 2" xfId="6"/>
    <cellStyle name="Comma 3" xfId="7"/>
    <cellStyle name="Comma 4" xfId="8"/>
    <cellStyle name="Comma 5" xfId="9"/>
    <cellStyle name="Comma 6" xfId="10"/>
    <cellStyle name="Comma 7" xfId="11"/>
    <cellStyle name="Comma 7 2" xfId="12"/>
    <cellStyle name="Comma0" xfId="13"/>
    <cellStyle name="Comma0 2" xfId="14"/>
    <cellStyle name="Comma0 3" xfId="15"/>
    <cellStyle name="Comma0 4" xfId="16"/>
    <cellStyle name="Currency 2" xfId="17"/>
    <cellStyle name="Currency 3" xfId="18"/>
    <cellStyle name="Currency0" xfId="19"/>
    <cellStyle name="Currency0 2" xfId="20"/>
    <cellStyle name="Currency0 3" xfId="21"/>
    <cellStyle name="Currency0 4" xfId="22"/>
    <cellStyle name="Date" xfId="23"/>
    <cellStyle name="Date 2" xfId="24"/>
    <cellStyle name="Date 3" xfId="25"/>
    <cellStyle name="Date 4" xfId="26"/>
    <cellStyle name="Explanatory Text" xfId="3" builtinId="53"/>
    <cellStyle name="Fixed" xfId="27"/>
    <cellStyle name="Fixed 2" xfId="28"/>
    <cellStyle name="Fixed 3" xfId="29"/>
    <cellStyle name="Fixed 4" xfId="30"/>
    <cellStyle name="Heading 1 2" xfId="31"/>
    <cellStyle name="Heading 1 3" xfId="32"/>
    <cellStyle name="Heading 1 4" xfId="33"/>
    <cellStyle name="Heading 1 5" xfId="34"/>
    <cellStyle name="Heading 1 6" xfId="35"/>
    <cellStyle name="Heading 2 2" xfId="36"/>
    <cellStyle name="Heading 2 3" xfId="37"/>
    <cellStyle name="Heading 2 4" xfId="38"/>
    <cellStyle name="Heading 2 5" xfId="39"/>
    <cellStyle name="Heading 2 6" xfId="40"/>
    <cellStyle name="HEADING1" xfId="41"/>
    <cellStyle name="HEADING1 2" xfId="42"/>
    <cellStyle name="HEADING1 3" xfId="43"/>
    <cellStyle name="HEADING2" xfId="44"/>
    <cellStyle name="HEADING2 2" xfId="45"/>
    <cellStyle name="HEADING2 3" xfId="46"/>
    <cellStyle name="Hyperlink 2" xfId="5"/>
    <cellStyle name="Normal" xfId="0" builtinId="0"/>
    <cellStyle name="Normal 10" xfId="47"/>
    <cellStyle name="Normal 10 2" xfId="48"/>
    <cellStyle name="Normal 12" xfId="49"/>
    <cellStyle name="Normal 2" xfId="4"/>
    <cellStyle name="Normal 2 2" xfId="50"/>
    <cellStyle name="Normal 3" xfId="51"/>
    <cellStyle name="Normal 4" xfId="52"/>
    <cellStyle name="Normal 4 2" xfId="53"/>
    <cellStyle name="Normal 5" xfId="54"/>
    <cellStyle name="Normal 6" xfId="55"/>
    <cellStyle name="Normal 7" xfId="56"/>
    <cellStyle name="Normal 7 2" xfId="57"/>
    <cellStyle name="Normal 8" xfId="58"/>
    <cellStyle name="Normal 9" xfId="59"/>
    <cellStyle name="Normal 9 2" xfId="60"/>
    <cellStyle name="Percent" xfId="2" builtinId="5"/>
    <cellStyle name="Percent 2" xfId="61"/>
    <cellStyle name="Percent 3" xfId="62"/>
    <cellStyle name="Percent 4" xfId="63"/>
    <cellStyle name="Percent 5" xfId="64"/>
    <cellStyle name="Percent 5 2" xfId="65"/>
    <cellStyle name="Percent 6" xfId="66"/>
    <cellStyle name="Title 2" xfId="67"/>
    <cellStyle name="Total 2" xfId="68"/>
    <cellStyle name="Total 2 2" xfId="69"/>
    <cellStyle name="Total 2 2 2" xfId="70"/>
    <cellStyle name="Total 2 2 2 2" xfId="71"/>
    <cellStyle name="Total 2 2 3" xfId="72"/>
    <cellStyle name="Total 2 3" xfId="73"/>
    <cellStyle name="Total 2 3 2" xfId="74"/>
    <cellStyle name="Total 2 4" xfId="75"/>
    <cellStyle name="Total 2 4 2" xfId="76"/>
    <cellStyle name="Total 2 5" xfId="77"/>
    <cellStyle name="Total 2 5 2" xfId="78"/>
    <cellStyle name="Total 2 6" xfId="79"/>
    <cellStyle name="Total 2 6 2" xfId="80"/>
    <cellStyle name="Total 2 7" xfId="81"/>
    <cellStyle name="Total 2 7 2" xfId="82"/>
    <cellStyle name="Total 2 8" xfId="83"/>
    <cellStyle name="Total 2 8 2" xfId="84"/>
    <cellStyle name="Total 3" xfId="85"/>
    <cellStyle name="Total 3 2" xfId="86"/>
    <cellStyle name="Total 3 2 2" xfId="87"/>
    <cellStyle name="Total 3 2 2 2" xfId="88"/>
    <cellStyle name="Total 3 2 3" xfId="89"/>
    <cellStyle name="Total 3 3" xfId="90"/>
    <cellStyle name="Total 3 3 2" xfId="91"/>
    <cellStyle name="Total 3 4" xfId="92"/>
    <cellStyle name="Total 3 4 2" xfId="93"/>
    <cellStyle name="Total 3 5" xfId="94"/>
    <cellStyle name="Total 3 5 2" xfId="95"/>
    <cellStyle name="Total 3 6" xfId="96"/>
    <cellStyle name="Total 3 6 2" xfId="97"/>
    <cellStyle name="Total 3 7" xfId="98"/>
    <cellStyle name="Total 3 7 2" xfId="99"/>
    <cellStyle name="Total 3 8" xfId="100"/>
    <cellStyle name="Total 3 8 2" xfId="101"/>
    <cellStyle name="Total 4" xfId="102"/>
    <cellStyle name="Total 4 2" xfId="103"/>
    <cellStyle name="Total 4 2 2" xfId="104"/>
    <cellStyle name="Total 4 2 2 2" xfId="105"/>
    <cellStyle name="Total 4 2 3" xfId="106"/>
    <cellStyle name="Total 4 3" xfId="107"/>
    <cellStyle name="Total 4 3 2" xfId="108"/>
    <cellStyle name="Total 4 4" xfId="109"/>
    <cellStyle name="Total 4 4 2" xfId="110"/>
    <cellStyle name="Total 4 5" xfId="111"/>
    <cellStyle name="Total 4 5 2" xfId="112"/>
    <cellStyle name="Total 4 6" xfId="113"/>
    <cellStyle name="Total 4 6 2" xfId="114"/>
    <cellStyle name="Total 4 7" xfId="115"/>
    <cellStyle name="Total 4 7 2" xfId="116"/>
    <cellStyle name="Total 4 8" xfId="117"/>
    <cellStyle name="Total 4 8 2" xfId="118"/>
    <cellStyle name="Total 5" xfId="119"/>
    <cellStyle name="Total 5 2" xfId="120"/>
    <cellStyle name="Total 5 2 2" xfId="121"/>
    <cellStyle name="Total 5 3" xfId="122"/>
    <cellStyle name="Total 6" xfId="1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297974</xdr:colOff>
      <xdr:row>46</xdr:row>
      <xdr:rowOff>137160</xdr:rowOff>
    </xdr:to>
    <xdr:sp macro="" textlink="">
      <xdr:nvSpPr>
        <xdr:cNvPr id="2" name="TextBox 1"/>
        <xdr:cNvSpPr txBox="1"/>
      </xdr:nvSpPr>
      <xdr:spPr>
        <a:xfrm>
          <a:off x="0" y="0"/>
          <a:ext cx="6393974" cy="8900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pPr marL="0" marR="0" algn="ctr">
            <a:spcBef>
              <a:spcPts val="0"/>
            </a:spcBef>
            <a:spcAft>
              <a:spcPts val="0"/>
            </a:spcAft>
          </a:pPr>
          <a:r>
            <a:rPr lang="en-US" sz="1100" b="1" cap="all">
              <a:effectLst/>
              <a:latin typeface="Times New Roman"/>
              <a:ea typeface="Times New Roman"/>
              <a:cs typeface="Arial"/>
            </a:rPr>
            <a:t> </a:t>
          </a: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endParaRPr lang="en-US">
            <a:effectLst/>
            <a:latin typeface="Microsoft YaHei"/>
          </a:endParaRPr>
        </a:p>
        <a:p>
          <a:pPr algn="ctr"/>
          <a:endParaRPr lang="en-US" sz="2400" b="1">
            <a:effectLst/>
            <a:latin typeface="Microsoft YaHei" panose="020B0503020204020204" pitchFamily="34" charset="-122"/>
            <a:ea typeface="Microsoft YaHei" panose="020B0503020204020204" pitchFamily="34" charset="-122"/>
          </a:endParaRPr>
        </a:p>
        <a:p>
          <a:pPr algn="ctr"/>
          <a:endParaRPr lang="en-US" sz="2400" b="1">
            <a:effectLst/>
            <a:latin typeface="Microsoft YaHei" panose="020B0503020204020204" pitchFamily="34" charset="-122"/>
            <a:ea typeface="Microsoft YaHei" panose="020B0503020204020204" pitchFamily="34" charset="-122"/>
          </a:endParaRPr>
        </a:p>
        <a:p>
          <a:pPr algn="ctr"/>
          <a:r>
            <a:rPr lang="en-US" sz="2400" b="1">
              <a:effectLst/>
              <a:latin typeface="Microsoft YaHei" panose="020B0503020204020204" pitchFamily="34" charset="-122"/>
              <a:ea typeface="Microsoft YaHei" panose="020B0503020204020204" pitchFamily="34" charset="-122"/>
            </a:rPr>
            <a:t>Appendix H-4</a:t>
          </a:r>
        </a:p>
        <a:p>
          <a:pPr marL="0" marR="0" algn="ctr">
            <a:spcBef>
              <a:spcPts val="0"/>
            </a:spcBef>
            <a:spcAft>
              <a:spcPts val="0"/>
            </a:spcAft>
          </a:pPr>
          <a:r>
            <a:rPr lang="en-US" sz="1100" b="1" cap="all">
              <a:effectLst/>
              <a:latin typeface="+mn-lt"/>
              <a:ea typeface="Times New Roman"/>
              <a:cs typeface="Arial"/>
            </a:rPr>
            <a:t> </a:t>
          </a:r>
          <a:endParaRPr lang="en-US" sz="1100" b="1" cap="all">
            <a:effectLst/>
            <a:latin typeface="Times New Roman"/>
            <a:ea typeface="Times New Roman"/>
            <a:cs typeface="Arial"/>
          </a:endParaRPr>
        </a:p>
        <a:p>
          <a:pPr marL="0" marR="0" algn="ctr">
            <a:spcBef>
              <a:spcPts val="0"/>
            </a:spcBef>
            <a:spcAft>
              <a:spcPts val="1200"/>
            </a:spcAft>
          </a:pPr>
          <a:r>
            <a:rPr lang="en-US" sz="2400" b="1">
              <a:effectLst/>
              <a:latin typeface="+mn-lt"/>
              <a:ea typeface="Times New Roman"/>
              <a:cs typeface="Arial"/>
            </a:rPr>
            <a:t>Domtar</a:t>
          </a:r>
          <a:r>
            <a:rPr lang="en-US" sz="2400" b="1" baseline="0">
              <a:effectLst/>
              <a:latin typeface="+mn-lt"/>
              <a:ea typeface="Times New Roman"/>
              <a:cs typeface="Arial"/>
            </a:rPr>
            <a:t> Ashdown Mill Revised Calculations</a:t>
          </a:r>
          <a:endParaRPr lang="en-US" sz="2400" b="1">
            <a:effectLst/>
            <a:latin typeface="+mn-lt"/>
            <a:ea typeface="Times New Roman"/>
            <a:cs typeface="Arial"/>
          </a:endParaRP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p>
        <a:p>
          <a:pPr marL="0" marR="0">
            <a:lnSpc>
              <a:spcPct val="115000"/>
            </a:lnSpc>
            <a:spcBef>
              <a:spcPts val="0"/>
            </a:spcBef>
            <a:spcAft>
              <a:spcPts val="1000"/>
            </a:spcAft>
          </a:pPr>
          <a:r>
            <a:rPr lang="en-US" sz="800">
              <a:effectLst/>
              <a:latin typeface="+mn-lt"/>
              <a:ea typeface="Calibri"/>
              <a:cs typeface="Times New Roman"/>
            </a:rPr>
            <a:t> </a:t>
          </a:r>
          <a:endParaRPr lang="en-US" sz="1200">
            <a:effectLst/>
            <a:latin typeface="Times New Roman" panose="02020603050405020304" pitchFamily="18" charset="0"/>
            <a:ea typeface="Calibri"/>
            <a:cs typeface="Times New Roman" panose="02020603050405020304" pitchFamily="18" charset="0"/>
          </a:endParaRP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Division of Environmental Quality</a:t>
          </a:r>
        </a:p>
        <a:p>
          <a:pPr marL="0" marR="0" algn="ctr">
            <a:lnSpc>
              <a:spcPct val="115000"/>
            </a:lnSpc>
            <a:spcBef>
              <a:spcPts val="0"/>
            </a:spcBef>
            <a:spcAft>
              <a:spcPts val="1000"/>
            </a:spcAft>
          </a:pPr>
          <a:r>
            <a:rPr lang="en-US" sz="1200">
              <a:effectLst/>
              <a:latin typeface="Times New Roman" panose="02020603050405020304" pitchFamily="18" charset="0"/>
              <a:ea typeface="Calibri"/>
              <a:cs typeface="Times New Roman" panose="02020603050405020304" pitchFamily="18" charset="0"/>
            </a:rPr>
            <a:t>Office of Air Quality</a:t>
          </a:r>
        </a:p>
        <a:p>
          <a:endParaRPr lang="en-US" sz="1100"/>
        </a:p>
      </xdr:txBody>
    </xdr:sp>
    <xdr:clientData/>
  </xdr:twoCellAnchor>
  <xdr:twoCellAnchor>
    <xdr:from>
      <xdr:col>2</xdr:col>
      <xdr:colOff>209550</xdr:colOff>
      <xdr:row>6</xdr:row>
      <xdr:rowOff>111125</xdr:rowOff>
    </xdr:from>
    <xdr:to>
      <xdr:col>8</xdr:col>
      <xdr:colOff>200818</xdr:colOff>
      <xdr:row>15</xdr:row>
      <xdr:rowOff>187325</xdr:rowOff>
    </xdr:to>
    <xdr:pic>
      <xdr:nvPicPr>
        <xdr:cNvPr id="3" name="Picture 2" descr="EQ_Vertical_colo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32775"/>
        <a:stretch/>
      </xdr:blipFill>
      <xdr:spPr bwMode="auto">
        <a:xfrm>
          <a:off x="1428750" y="1254125"/>
          <a:ext cx="3648868" cy="17907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1</xdr:row>
      <xdr:rowOff>7620</xdr:rowOff>
    </xdr:from>
    <xdr:to>
      <xdr:col>11</xdr:col>
      <xdr:colOff>571500</xdr:colOff>
      <xdr:row>42</xdr:row>
      <xdr:rowOff>160020</xdr:rowOff>
    </xdr:to>
    <xdr:sp macro="" textlink="">
      <xdr:nvSpPr>
        <xdr:cNvPr id="2" name="TextBox 1"/>
        <xdr:cNvSpPr txBox="1"/>
      </xdr:nvSpPr>
      <xdr:spPr>
        <a:xfrm>
          <a:off x="68580" y="190500"/>
          <a:ext cx="7376160" cy="7650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General</a:t>
          </a:r>
        </a:p>
        <a:p>
          <a:pPr marL="0" marR="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Domtar used a 7% interest rate to annualize total</a:t>
          </a:r>
          <a:r>
            <a:rPr lang="en-US" sz="1100" b="0" baseline="0">
              <a:solidFill>
                <a:schemeClr val="dk1"/>
              </a:solidFill>
              <a:effectLst/>
              <a:latin typeface="+mn-lt"/>
              <a:ea typeface="+mn-ea"/>
              <a:cs typeface="+mn-cs"/>
            </a:rPr>
            <a:t> capital investment estimates for the control strategies evaluated for No. 2 Power Boiler and No. 3 Power Boiler. </a:t>
          </a:r>
          <a:r>
            <a:rPr lang="en-US" sz="1100">
              <a:solidFill>
                <a:schemeClr val="dk1"/>
              </a:solidFill>
              <a:effectLst/>
              <a:latin typeface="+mn-lt"/>
              <a:ea typeface="+mn-ea"/>
              <a:cs typeface="+mn-cs"/>
            </a:rPr>
            <a:t>This interest rate is consistent with past cost analyses for regional haze planning and the social cost of rulemaking specified in the EPA Control Cost Manual. However, EPA Region 6 has indicated that DEQ should evaluate costs annualized based on the bank prime rate consistent with EPA Control Cost Manual guidance on private investments. The EPA Control Cost Manual recommends that assessments of private cost “should be prepared using firm-specific nominal interest rates if possible, or the bank prime rate if firm-specific interest rates cannot be estimated or verified.” Therefore, DEQ has calculated the annualized capital costs using the information provided by Domtar and a 3.25% interest rate (bank prime rate on July 16, 2020).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SO2 Cost-Effectiveness Calculations</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Domtar represented the emission reductions that would be achieved through increased use of scrubbing reagent as a 90% emission reduction for No. 2 Power Boiler. However, the baseline emissions for No. 2 Power Boiler already reflect a degree of emissions reductions due to operation of the existing scrubbers for particulate matter control. Based on calculations presented in EPA's technical support document on the proposed federal implementation plan for Regional Haze in Arkansas, EPA estimated that increased scrubbing reagent could achieve a 90% emission reduction from back-calculated uncontrolled emissions. Based on data provided by Domtar, EPA estimated that the control efficiency for existing scrubbers was approximately 69%. DEQ has revised the anticipated emission reductions using the same formulas EPA used in AR020.0188 Domtar PB2_Cost 2011-2013.</a:t>
          </a:r>
        </a:p>
        <a:p>
          <a:pPr marL="0" marR="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SNCR Cost-Effectiveness Calculations</a:t>
          </a:r>
          <a:endParaRPr lang="en-US">
            <a:effectLst/>
          </a:endParaRPr>
        </a:p>
        <a:p>
          <a:r>
            <a:rPr lang="en-US" sz="1100">
              <a:solidFill>
                <a:schemeClr val="dk1"/>
              </a:solidFill>
              <a:effectLst/>
              <a:latin typeface="+mn-lt"/>
              <a:ea typeface="+mn-ea"/>
              <a:cs typeface="+mn-cs"/>
            </a:rPr>
            <a:t>To determine the</a:t>
          </a:r>
          <a:r>
            <a:rPr lang="en-US" sz="1100" baseline="0">
              <a:solidFill>
                <a:schemeClr val="dk1"/>
              </a:solidFill>
              <a:effectLst/>
              <a:latin typeface="+mn-lt"/>
              <a:ea typeface="+mn-ea"/>
              <a:cs typeface="+mn-cs"/>
            </a:rPr>
            <a:t> cost of SNCR for No. 2 and No. 3 Power Boiler, Domtar based cost estimates on the 27.5% control efficiency scenario used for planning period 1 for No. 2 Boiler, but Domtar  estimated that SNCR would only be operation on the units during optimal conditions (~7% of the time). EPA guidance indicates that the SNCR capacity factor (amount of time the SNCR system will be operated) is a key input in determining costs for SNCR and would achieve 40% control efficiency during that time. In addition, Trinity Consultants annualized costs over a 30 year period. EPA guidance indicates that the equipment life for SNCR is 20 years and that the bank prime rate should be used to annualize costs.</a:t>
          </a:r>
          <a:endParaRPr lang="en-US" sz="1100" b="0" baseline="0">
            <a:solidFill>
              <a:schemeClr val="dk1"/>
            </a:solidFill>
            <a:effectLst/>
            <a:latin typeface="+mn-lt"/>
            <a:ea typeface="+mn-ea"/>
            <a:cs typeface="+mn-cs"/>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On the Domtar SNCR #2 PB and Domtar SNCR #3 PB, DEQ calculated cost estimates using the Control Cost Manual SNCR estimation formulas based on two cases: </a:t>
          </a:r>
        </a:p>
        <a:p>
          <a:r>
            <a:rPr lang="en-US" sz="1100" b="0" baseline="0">
              <a:solidFill>
                <a:schemeClr val="dk1"/>
              </a:solidFill>
              <a:effectLst/>
              <a:latin typeface="+mn-lt"/>
              <a:ea typeface="+mn-ea"/>
              <a:cs typeface="+mn-cs"/>
            </a:rPr>
            <a:t>1) 7% SNCR capacity, 20 year equipment life, 3.25% (bank prime rate on July 10, 2020), </a:t>
          </a:r>
          <a:r>
            <a:rPr lang="en-US" sz="1100" b="0" u="none" baseline="0">
              <a:solidFill>
                <a:schemeClr val="dk1"/>
              </a:solidFill>
              <a:effectLst/>
              <a:latin typeface="+mn-lt"/>
              <a:ea typeface="+mn-ea"/>
              <a:cs typeface="+mn-cs"/>
            </a:rPr>
            <a:t>40% control efficiency during operation</a:t>
          </a:r>
        </a:p>
        <a:p>
          <a:pPr marL="0" marR="0" indent="0" defTabSz="914400" eaLnBrk="1" fontAlgn="auto" latinLnBrk="0" hangingPunct="1">
            <a:lnSpc>
              <a:spcPct val="100000"/>
            </a:lnSpc>
            <a:spcBef>
              <a:spcPts val="0"/>
            </a:spcBef>
            <a:spcAft>
              <a:spcPts val="0"/>
            </a:spcAft>
            <a:buClrTx/>
            <a:buSzTx/>
            <a:buFontTx/>
            <a:buNone/>
            <a:tabLst/>
            <a:defRPr/>
          </a:pPr>
          <a:r>
            <a:rPr lang="en-US" sz="1100" b="0" u="none" baseline="0">
              <a:solidFill>
                <a:schemeClr val="dk1"/>
              </a:solidFill>
              <a:effectLst/>
              <a:latin typeface="+mn-lt"/>
              <a:ea typeface="+mn-ea"/>
              <a:cs typeface="+mn-cs"/>
            </a:rPr>
            <a:t>2) 100% SNCR capacity, 20 year equipment life, 3.25% (bank prime rate on July 10, 2020), 27.5% control efficiency during operation per EPA FIP assumptions.</a:t>
          </a:r>
          <a:endParaRPr lang="en-US" b="0" u="none">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Case 1 reflects operation of the SNCR system only during optimal conditions.</a:t>
          </a:r>
        </a:p>
        <a:p>
          <a:r>
            <a:rPr lang="en-US" sz="1100" b="0" baseline="0">
              <a:solidFill>
                <a:schemeClr val="dk1"/>
              </a:solidFill>
              <a:effectLst/>
              <a:latin typeface="+mn-lt"/>
              <a:ea typeface="+mn-ea"/>
              <a:cs typeface="+mn-cs"/>
            </a:rPr>
            <a:t>Case 2 reflects operation of the SNCR system 100</a:t>
          </a:r>
          <a:r>
            <a:rPr lang="en-US" sz="1100" b="0" u="none" baseline="0">
              <a:solidFill>
                <a:schemeClr val="dk1"/>
              </a:solidFill>
              <a:effectLst/>
              <a:latin typeface="+mn-lt"/>
              <a:ea typeface="+mn-ea"/>
              <a:cs typeface="+mn-cs"/>
            </a:rPr>
            <a:t>% of the time at the 27.5% operation control efficiency assumed in EPA's 2016 FIP. </a:t>
          </a:r>
          <a:r>
            <a:rPr lang="en-US" sz="1100" b="0" baseline="0">
              <a:solidFill>
                <a:schemeClr val="dk1"/>
              </a:solidFill>
              <a:effectLst/>
              <a:latin typeface="+mn-lt"/>
              <a:ea typeface="+mn-ea"/>
              <a:cs typeface="+mn-cs"/>
            </a:rPr>
            <a:t>Domtar has indicated that this SNCR operation capacity is not feasible for either power boiler.</a:t>
          </a:r>
        </a:p>
        <a:p>
          <a:endParaRPr lang="en-US" sz="1100"/>
        </a:p>
        <a:p>
          <a:r>
            <a:rPr lang="en-US" sz="1100"/>
            <a:t>Revised costs for SNCR</a:t>
          </a:r>
          <a:r>
            <a:rPr lang="en-US" sz="1100" baseline="0"/>
            <a:t> on No. 2 Power Boiler and No. 3 Power Boiler are on the Domtar SNCR#2 PB tab and Domtar SNCR#3 PB tab, respectively.</a:t>
          </a:r>
        </a:p>
        <a:p>
          <a:endParaRPr lang="en-US" sz="1100" baseline="0"/>
        </a:p>
        <a:p>
          <a:r>
            <a:rPr lang="en-US" sz="1100" baseline="0"/>
            <a:t>Costs are escalated to $2019 using  the Chemical Engineering Plant Cost Index.</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eece\AppData\Local\Temp\AR020-0063-01_Domtar_BART_Consolidated_2014-05-1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t Inputs"/>
      <sheetName val="Inputs"/>
      <sheetName val="1PB BLEmiss Variability"/>
      <sheetName val="Modeled ERs SN-03"/>
      <sheetName val="Modeled ERs SN-05"/>
      <sheetName val="WB-control PM NIDS-FF"/>
      <sheetName val="Results =&gt;"/>
      <sheetName val="Baseline Results"/>
      <sheetName val="Post-Control Results"/>
      <sheetName val="Costing =&gt;"/>
      <sheetName val="WetScrubber-ESP"/>
      <sheetName val="SNCR #1PB"/>
      <sheetName val="SNCR #2PB"/>
    </sheetNames>
    <sheetDataSet>
      <sheetData sheetId="0" refreshError="1">
        <row r="28">
          <cell r="M28">
            <v>9642.6613932537421</v>
          </cell>
        </row>
      </sheetData>
      <sheetData sheetId="1" refreshError="1">
        <row r="4">
          <cell r="C4">
            <v>820</v>
          </cell>
        </row>
        <row r="40">
          <cell r="D40">
            <v>0.41758536585365846</v>
          </cell>
          <cell r="F40">
            <v>1455.7084593999998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R26" sqref="R26"/>
    </sheetView>
  </sheetViews>
  <sheetFormatPr defaultColWidth="9.140625" defaultRowHeight="15" x14ac:dyDescent="0.25"/>
  <sheetData>
    <row r="1" spans="1:1" x14ac:dyDescent="0.25">
      <c r="A1" t="s">
        <v>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46"/>
  <sheetViews>
    <sheetView topLeftCell="B1" workbookViewId="0">
      <selection activeCell="F18" sqref="F18"/>
    </sheetView>
  </sheetViews>
  <sheetFormatPr defaultColWidth="9.140625" defaultRowHeight="15" x14ac:dyDescent="0.25"/>
  <cols>
    <col min="1" max="1" width="75.7109375" customWidth="1"/>
    <col min="2" max="2" width="39.28515625" customWidth="1"/>
    <col min="3" max="3" width="15.7109375" bestFit="1" customWidth="1"/>
    <col min="4" max="4" width="32.7109375" bestFit="1" customWidth="1"/>
    <col min="5" max="5" width="34.28515625" customWidth="1"/>
    <col min="6" max="6" width="15.28515625" bestFit="1" customWidth="1"/>
    <col min="7" max="7" width="17.7109375" bestFit="1" customWidth="1"/>
    <col min="8" max="8" width="17.42578125" bestFit="1" customWidth="1"/>
  </cols>
  <sheetData>
    <row r="2" spans="1:8" ht="14.45" x14ac:dyDescent="0.3">
      <c r="D2" s="3"/>
      <c r="F2" s="3"/>
    </row>
    <row r="3" spans="1:8" x14ac:dyDescent="0.25">
      <c r="A3" s="129" t="s">
        <v>6</v>
      </c>
      <c r="B3" s="129" t="s">
        <v>7</v>
      </c>
      <c r="C3" s="131" t="s">
        <v>8</v>
      </c>
      <c r="D3" s="133" t="s">
        <v>4</v>
      </c>
      <c r="E3" s="131" t="s">
        <v>160</v>
      </c>
      <c r="F3" s="131" t="s">
        <v>5</v>
      </c>
      <c r="G3" s="134" t="s">
        <v>9</v>
      </c>
      <c r="H3" s="134" t="s">
        <v>10</v>
      </c>
    </row>
    <row r="4" spans="1:8" ht="27" customHeight="1" x14ac:dyDescent="0.25">
      <c r="A4" s="130"/>
      <c r="B4" s="130"/>
      <c r="C4" s="132"/>
      <c r="D4" s="133"/>
      <c r="E4" s="132"/>
      <c r="F4" s="132"/>
      <c r="G4" s="134"/>
      <c r="H4" s="134"/>
    </row>
    <row r="5" spans="1:8" ht="14.45" x14ac:dyDescent="0.3">
      <c r="A5" s="4">
        <v>2</v>
      </c>
      <c r="B5" s="5" t="s">
        <v>11</v>
      </c>
      <c r="C5" s="6">
        <v>7511270</v>
      </c>
      <c r="D5" s="7">
        <f>C5*$D$13</f>
        <v>389437.29816288681</v>
      </c>
      <c r="E5" s="6">
        <v>9688932</v>
      </c>
      <c r="F5" s="6">
        <f>SUM(D5,E5)*'CEPCI Index'!$C$22</f>
        <v>10151897.44426124</v>
      </c>
      <c r="G5" s="6">
        <v>773</v>
      </c>
      <c r="H5" s="6">
        <f t="shared" ref="H5:H10" si="0">F5/G5</f>
        <v>13133.114416896817</v>
      </c>
    </row>
    <row r="6" spans="1:8" ht="14.45" x14ac:dyDescent="0.3">
      <c r="A6" s="4">
        <v>2</v>
      </c>
      <c r="B6" s="5" t="s">
        <v>12</v>
      </c>
      <c r="C6" s="6">
        <v>209373</v>
      </c>
      <c r="D6" s="7">
        <f t="shared" ref="D6:D10" si="1">C6*$D$13</f>
        <v>10855.375379697189</v>
      </c>
      <c r="E6" s="6">
        <v>2051859</v>
      </c>
      <c r="F6" s="6">
        <f>SUM(D6,E6)*'CEPCI Index'!$C$22</f>
        <v>2077763.1952299222</v>
      </c>
      <c r="G6" s="6">
        <f>C36</f>
        <v>578.83485342019537</v>
      </c>
      <c r="H6" s="6">
        <f t="shared" si="0"/>
        <v>3589.5613108867256</v>
      </c>
    </row>
    <row r="7" spans="1:8" ht="14.45" x14ac:dyDescent="0.3">
      <c r="A7" s="4">
        <v>3</v>
      </c>
      <c r="B7" s="5" t="s">
        <v>13</v>
      </c>
      <c r="C7" s="6">
        <v>30208534</v>
      </c>
      <c r="D7" s="7">
        <f t="shared" si="1"/>
        <v>1566223.8026887204</v>
      </c>
      <c r="E7" s="6">
        <v>966673</v>
      </c>
      <c r="F7" s="6">
        <f>SUM(D7,E7)*'CEPCI Index'!$C$22</f>
        <v>2551375.9038855876</v>
      </c>
      <c r="G7" s="6">
        <v>42.2</v>
      </c>
      <c r="H7" s="6">
        <f t="shared" si="0"/>
        <v>60459.144641838568</v>
      </c>
    </row>
    <row r="8" spans="1:8" ht="14.45" x14ac:dyDescent="0.3">
      <c r="A8" s="4">
        <v>3</v>
      </c>
      <c r="B8" s="5" t="s">
        <v>14</v>
      </c>
      <c r="C8" s="6">
        <v>181251205</v>
      </c>
      <c r="D8" s="7">
        <f t="shared" si="1"/>
        <v>9397342.8679793868</v>
      </c>
      <c r="E8" s="6">
        <v>2175014</v>
      </c>
      <c r="F8" s="6">
        <f>SUM(D8,E8)*'CEPCI Index'!$C$22</f>
        <v>11656784.608352641</v>
      </c>
      <c r="G8" s="6">
        <v>42.2</v>
      </c>
      <c r="H8" s="6">
        <f t="shared" si="0"/>
        <v>276227.12342067866</v>
      </c>
    </row>
    <row r="9" spans="1:8" ht="14.45" x14ac:dyDescent="0.3">
      <c r="A9" s="4">
        <v>3</v>
      </c>
      <c r="B9" s="5" t="s">
        <v>15</v>
      </c>
      <c r="C9" s="6">
        <v>36250241</v>
      </c>
      <c r="D9" s="7">
        <f t="shared" si="1"/>
        <v>1879468.5735958773</v>
      </c>
      <c r="E9" s="6">
        <v>1208341</v>
      </c>
      <c r="F9" s="6">
        <f>SUM(D9,E9)*'CEPCI Index'!$C$22</f>
        <v>3110337.1181553565</v>
      </c>
      <c r="G9" s="6">
        <v>42.2</v>
      </c>
      <c r="H9" s="6">
        <f t="shared" si="0"/>
        <v>73704.671046335454</v>
      </c>
    </row>
    <row r="10" spans="1:8" ht="14.45" x14ac:dyDescent="0.3">
      <c r="A10" s="4">
        <v>3</v>
      </c>
      <c r="B10" s="5" t="s">
        <v>16</v>
      </c>
      <c r="C10" s="6">
        <v>181251205</v>
      </c>
      <c r="D10" s="7">
        <f t="shared" si="1"/>
        <v>9397342.8679793868</v>
      </c>
      <c r="E10" s="6">
        <v>36250241</v>
      </c>
      <c r="F10" s="6">
        <f>SUM(D10,E10)*'CEPCI Index'!$C$22</f>
        <v>45980612.170116857</v>
      </c>
      <c r="G10" s="6">
        <v>42.2</v>
      </c>
      <c r="H10" s="6">
        <f t="shared" si="0"/>
        <v>1089587.9661165131</v>
      </c>
    </row>
    <row r="12" spans="1:8" ht="14.45" x14ac:dyDescent="0.3">
      <c r="B12" t="s">
        <v>17</v>
      </c>
    </row>
    <row r="13" spans="1:8" ht="14.45" x14ac:dyDescent="0.3">
      <c r="B13" s="135" t="s">
        <v>18</v>
      </c>
      <c r="C13" s="135"/>
      <c r="D13">
        <f>(D14*(1+D14)^D15)/(((1+D14)^D15)-1)</f>
        <v>5.1847064233197161E-2</v>
      </c>
      <c r="E13" s="135"/>
      <c r="F13" s="135"/>
    </row>
    <row r="14" spans="1:8" ht="14.45" x14ac:dyDescent="0.3">
      <c r="B14" s="135" t="s">
        <v>19</v>
      </c>
      <c r="C14" s="135"/>
      <c r="D14">
        <v>3.125E-2</v>
      </c>
      <c r="E14" s="135"/>
      <c r="F14" s="135"/>
    </row>
    <row r="15" spans="1:8" ht="14.45" x14ac:dyDescent="0.3">
      <c r="B15" s="135" t="s">
        <v>20</v>
      </c>
      <c r="C15" s="135"/>
      <c r="D15">
        <v>30</v>
      </c>
      <c r="E15" s="135"/>
      <c r="F15" s="135"/>
    </row>
    <row r="18" spans="1:8" ht="14.45" x14ac:dyDescent="0.3">
      <c r="B18" s="135"/>
      <c r="C18" s="135"/>
    </row>
    <row r="19" spans="1:8" ht="14.45" x14ac:dyDescent="0.3">
      <c r="B19" s="135"/>
      <c r="C19" s="135"/>
      <c r="E19" s="8"/>
      <c r="F19" s="8"/>
      <c r="G19" s="8"/>
      <c r="H19" s="8"/>
    </row>
    <row r="20" spans="1:8" ht="15" customHeight="1" x14ac:dyDescent="0.3">
      <c r="B20" s="135"/>
      <c r="C20" s="135"/>
      <c r="E20" s="8"/>
      <c r="F20" s="9"/>
      <c r="G20" s="8"/>
      <c r="H20" s="8"/>
    </row>
    <row r="21" spans="1:8" ht="14.45" x14ac:dyDescent="0.3">
      <c r="C21" t="s">
        <v>21</v>
      </c>
      <c r="F21" s="10"/>
    </row>
    <row r="22" spans="1:8" ht="14.45" x14ac:dyDescent="0.3">
      <c r="A22" s="11" t="s">
        <v>22</v>
      </c>
      <c r="B22" s="12">
        <v>0.6928805555555555</v>
      </c>
      <c r="C22" s="11" t="s">
        <v>23</v>
      </c>
      <c r="D22" s="11"/>
      <c r="F22" s="10"/>
    </row>
    <row r="23" spans="1:8" ht="58.15" customHeight="1" x14ac:dyDescent="0.3">
      <c r="B23" s="10"/>
      <c r="C23" s="13"/>
      <c r="D23" s="14"/>
      <c r="F23" s="10"/>
    </row>
    <row r="24" spans="1:8" ht="58.15" customHeight="1" x14ac:dyDescent="0.3">
      <c r="B24" s="10"/>
      <c r="C24" s="13"/>
      <c r="F24" s="10"/>
    </row>
    <row r="25" spans="1:8" ht="14.45" x14ac:dyDescent="0.3">
      <c r="A25" t="s">
        <v>24</v>
      </c>
      <c r="C25" s="15">
        <v>858.9</v>
      </c>
      <c r="F25" s="10"/>
    </row>
    <row r="26" spans="1:8" ht="28.9" x14ac:dyDescent="0.3">
      <c r="A26" s="16" t="s">
        <v>25</v>
      </c>
      <c r="F26" s="10"/>
    </row>
    <row r="27" spans="1:8" ht="14.45" x14ac:dyDescent="0.3">
      <c r="B27" t="s">
        <v>26</v>
      </c>
      <c r="F27" s="10"/>
    </row>
    <row r="28" spans="1:8" ht="14.45" x14ac:dyDescent="0.3">
      <c r="B28" t="s">
        <v>27</v>
      </c>
      <c r="C28">
        <f>859.8/(1-0.693)</f>
        <v>2800.6514657980451</v>
      </c>
      <c r="F28" s="10"/>
    </row>
    <row r="29" spans="1:8" ht="14.45" x14ac:dyDescent="0.3">
      <c r="B29" t="s">
        <v>28</v>
      </c>
      <c r="F29" s="10"/>
    </row>
    <row r="30" spans="1:8" ht="15" customHeight="1" x14ac:dyDescent="0.3">
      <c r="B30" s="10"/>
      <c r="C30" s="10"/>
      <c r="D30" s="10"/>
      <c r="F30" s="10"/>
    </row>
    <row r="31" spans="1:8" x14ac:dyDescent="0.25">
      <c r="B31" s="10"/>
      <c r="C31" s="10"/>
      <c r="D31" s="10"/>
      <c r="F31" s="10"/>
    </row>
    <row r="32" spans="1:8" x14ac:dyDescent="0.25">
      <c r="A32" s="17" t="s">
        <v>29</v>
      </c>
      <c r="B32" s="17"/>
      <c r="C32" s="17"/>
      <c r="F32" s="10"/>
    </row>
    <row r="33" spans="1:6" x14ac:dyDescent="0.25">
      <c r="F33" s="10"/>
    </row>
    <row r="34" spans="1:6" x14ac:dyDescent="0.25">
      <c r="A34" t="s">
        <v>30</v>
      </c>
      <c r="B34" s="18" t="s">
        <v>31</v>
      </c>
      <c r="C34">
        <f>C28*0.9</f>
        <v>2520.5863192182405</v>
      </c>
      <c r="F34" s="10"/>
    </row>
    <row r="35" spans="1:6" x14ac:dyDescent="0.25">
      <c r="A35" t="s">
        <v>32</v>
      </c>
      <c r="B35" s="18" t="s">
        <v>33</v>
      </c>
      <c r="C35">
        <f>C28-C34</f>
        <v>280.0651465798046</v>
      </c>
      <c r="F35" s="10"/>
    </row>
    <row r="36" spans="1:6" x14ac:dyDescent="0.25">
      <c r="A36" t="s">
        <v>34</v>
      </c>
      <c r="B36" s="18" t="s">
        <v>35</v>
      </c>
      <c r="C36" s="15">
        <f>C25-C35</f>
        <v>578.83485342019537</v>
      </c>
      <c r="F36" s="10"/>
    </row>
    <row r="37" spans="1:6" x14ac:dyDescent="0.25">
      <c r="F37" s="10"/>
    </row>
    <row r="38" spans="1:6" x14ac:dyDescent="0.25">
      <c r="A38" t="s">
        <v>36</v>
      </c>
      <c r="B38" s="18" t="s">
        <v>37</v>
      </c>
      <c r="C38" s="14">
        <f>C36/C25</f>
        <v>0.67392578113889323</v>
      </c>
      <c r="F38" s="10"/>
    </row>
    <row r="39" spans="1:6" x14ac:dyDescent="0.25">
      <c r="A39" s="10"/>
      <c r="B39" s="10"/>
      <c r="C39" s="10"/>
      <c r="D39" s="10"/>
      <c r="E39" s="10"/>
      <c r="F39" s="10"/>
    </row>
    <row r="40" spans="1:6" x14ac:dyDescent="0.25">
      <c r="A40" s="10"/>
      <c r="B40" s="10"/>
      <c r="C40" s="10"/>
      <c r="D40" s="10"/>
      <c r="E40" s="10"/>
      <c r="F40" s="10"/>
    </row>
    <row r="41" spans="1:6" x14ac:dyDescent="0.25">
      <c r="A41" s="10"/>
      <c r="B41" s="10"/>
      <c r="C41" s="10"/>
      <c r="D41" s="10"/>
      <c r="E41" s="10"/>
      <c r="F41" s="10"/>
    </row>
    <row r="42" spans="1:6" x14ac:dyDescent="0.25">
      <c r="A42" s="10"/>
      <c r="B42" s="10"/>
      <c r="C42" s="10"/>
      <c r="D42" s="10"/>
      <c r="E42" s="10"/>
      <c r="F42" s="10"/>
    </row>
    <row r="43" spans="1:6" x14ac:dyDescent="0.25">
      <c r="A43" s="10"/>
      <c r="B43" s="10"/>
      <c r="C43" s="10"/>
      <c r="D43" s="10"/>
      <c r="E43" s="10"/>
      <c r="F43" s="10"/>
    </row>
    <row r="44" spans="1:6" x14ac:dyDescent="0.25">
      <c r="A44" s="10"/>
      <c r="B44" s="10"/>
      <c r="C44" s="10"/>
      <c r="D44" s="10"/>
      <c r="E44" s="10"/>
      <c r="F44" s="10"/>
    </row>
    <row r="45" spans="1:6" x14ac:dyDescent="0.25">
      <c r="A45" s="10"/>
      <c r="B45" s="10"/>
      <c r="C45" s="10"/>
      <c r="D45" s="10"/>
      <c r="E45" s="10"/>
      <c r="F45" s="10"/>
    </row>
    <row r="46" spans="1:6" x14ac:dyDescent="0.25">
      <c r="A46" s="10"/>
      <c r="B46" s="10"/>
      <c r="C46" s="10"/>
      <c r="D46" s="10"/>
      <c r="E46" s="10"/>
      <c r="F46" s="10"/>
    </row>
  </sheetData>
  <mergeCells count="17">
    <mergeCell ref="B20:C20"/>
    <mergeCell ref="H3:H4"/>
    <mergeCell ref="B15:C15"/>
    <mergeCell ref="E15:F15"/>
    <mergeCell ref="B18:C18"/>
    <mergeCell ref="B19:C19"/>
    <mergeCell ref="F3:F4"/>
    <mergeCell ref="G3:G4"/>
    <mergeCell ref="B13:C13"/>
    <mergeCell ref="E13:F13"/>
    <mergeCell ref="B14:C14"/>
    <mergeCell ref="E14:F14"/>
    <mergeCell ref="A3:A4"/>
    <mergeCell ref="B3:B4"/>
    <mergeCell ref="C3:C4"/>
    <mergeCell ref="D3:D4"/>
    <mergeCell ref="E3:E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5"/>
  <sheetViews>
    <sheetView view="pageBreakPreview" topLeftCell="A43" zoomScaleNormal="100" zoomScaleSheetLayoutView="100" workbookViewId="0">
      <selection activeCell="B72" sqref="B72"/>
    </sheetView>
  </sheetViews>
  <sheetFormatPr defaultColWidth="9.140625" defaultRowHeight="12.75" x14ac:dyDescent="0.2"/>
  <cols>
    <col min="1" max="1" width="2.7109375" style="21" customWidth="1"/>
    <col min="2" max="2" width="43.85546875" style="21" customWidth="1"/>
    <col min="3" max="3" width="54.42578125" style="21" customWidth="1"/>
    <col min="4" max="4" width="19" style="21" customWidth="1"/>
    <col min="5" max="5" width="11.5703125" style="20" customWidth="1"/>
    <col min="6" max="16384" width="9.140625" style="21"/>
  </cols>
  <sheetData>
    <row r="1" spans="1:5" x14ac:dyDescent="0.2">
      <c r="A1" s="19"/>
      <c r="B1" s="137" t="s">
        <v>38</v>
      </c>
      <c r="C1" s="138"/>
      <c r="D1" s="138"/>
    </row>
    <row r="2" spans="1:5" ht="13.5" thickBot="1" x14ac:dyDescent="0.25">
      <c r="A2" s="22"/>
      <c r="B2" s="23"/>
      <c r="C2" s="23"/>
      <c r="D2" s="23"/>
    </row>
    <row r="3" spans="1:5" ht="4.5" customHeight="1" x14ac:dyDescent="0.2">
      <c r="A3" s="24"/>
      <c r="B3" s="25"/>
      <c r="C3" s="26"/>
      <c r="D3" s="27"/>
      <c r="E3" s="28"/>
    </row>
    <row r="4" spans="1:5" x14ac:dyDescent="0.2">
      <c r="A4" s="24"/>
      <c r="B4" s="29" t="s">
        <v>39</v>
      </c>
      <c r="C4" s="30"/>
      <c r="D4" s="31"/>
      <c r="E4" s="32"/>
    </row>
    <row r="5" spans="1:5" ht="15.75" thickBot="1" x14ac:dyDescent="0.3">
      <c r="A5" s="24"/>
      <c r="B5" s="33" t="s">
        <v>40</v>
      </c>
      <c r="C5" s="34"/>
      <c r="D5" s="35" t="s">
        <v>41</v>
      </c>
      <c r="E5" s="36" t="s">
        <v>42</v>
      </c>
    </row>
    <row r="6" spans="1:5" ht="15.75" x14ac:dyDescent="0.2">
      <c r="A6" s="24"/>
      <c r="B6" s="37" t="s">
        <v>43</v>
      </c>
      <c r="C6" s="38" t="s">
        <v>44</v>
      </c>
      <c r="D6" s="39" t="s">
        <v>45</v>
      </c>
      <c r="E6" s="39" t="s">
        <v>45</v>
      </c>
    </row>
    <row r="7" spans="1:5" ht="14.25" x14ac:dyDescent="0.25">
      <c r="A7" s="24"/>
      <c r="B7" s="40" t="s">
        <v>46</v>
      </c>
      <c r="C7" s="41" t="s">
        <v>47</v>
      </c>
      <c r="D7" s="42">
        <f>[1]Inputs!$C$4</f>
        <v>820</v>
      </c>
      <c r="E7" s="42">
        <f>[1]Inputs!$C$4</f>
        <v>820</v>
      </c>
    </row>
    <row r="8" spans="1:5" ht="14.25" x14ac:dyDescent="0.25">
      <c r="A8" s="24"/>
      <c r="B8" s="43" t="s">
        <v>48</v>
      </c>
      <c r="C8" s="44" t="s">
        <v>49</v>
      </c>
      <c r="D8" s="45">
        <f>D9*8760</f>
        <v>595.17290000000003</v>
      </c>
      <c r="E8" s="45">
        <f>E9*8760</f>
        <v>8502.4699999999993</v>
      </c>
    </row>
    <row r="9" spans="1:5" ht="14.25" x14ac:dyDescent="0.25">
      <c r="A9" s="24"/>
      <c r="B9" s="46" t="s">
        <v>50</v>
      </c>
      <c r="C9" s="47" t="s">
        <v>51</v>
      </c>
      <c r="D9" s="45">
        <f t="shared" ref="D9:E9" si="0">D10*D11</f>
        <v>6.7942111872146119E-2</v>
      </c>
      <c r="E9" s="45">
        <f t="shared" si="0"/>
        <v>0.97060159817351588</v>
      </c>
    </row>
    <row r="10" spans="1:5" ht="16.5" x14ac:dyDescent="0.25">
      <c r="A10" s="24"/>
      <c r="B10" s="46" t="s">
        <v>52</v>
      </c>
      <c r="C10" s="47"/>
      <c r="D10" s="45">
        <f>8502.47/8760</f>
        <v>0.97060159817351588</v>
      </c>
      <c r="E10" s="45">
        <f>8502.47/8760</f>
        <v>0.97060159817351588</v>
      </c>
    </row>
    <row r="11" spans="1:5" ht="16.5" x14ac:dyDescent="0.25">
      <c r="A11" s="24"/>
      <c r="B11" s="46" t="s">
        <v>53</v>
      </c>
      <c r="C11" s="47" t="s">
        <v>54</v>
      </c>
      <c r="D11" s="42">
        <v>7.0000000000000007E-2</v>
      </c>
      <c r="E11" s="42">
        <v>1</v>
      </c>
    </row>
    <row r="12" spans="1:5" ht="16.5" x14ac:dyDescent="0.25">
      <c r="A12" s="24"/>
      <c r="B12" s="46" t="s">
        <v>55</v>
      </c>
      <c r="C12" s="47"/>
      <c r="D12" s="48">
        <v>0.05</v>
      </c>
      <c r="E12" s="48">
        <v>0.05</v>
      </c>
    </row>
    <row r="13" spans="1:5" ht="16.5" x14ac:dyDescent="0.25">
      <c r="A13" s="24"/>
      <c r="B13" s="46" t="s">
        <v>56</v>
      </c>
      <c r="C13" s="47"/>
      <c r="D13" s="49">
        <f t="shared" ref="D13:E13" si="1">78.2/10^6</f>
        <v>7.8200000000000003E-5</v>
      </c>
      <c r="E13" s="49">
        <f t="shared" si="1"/>
        <v>7.8200000000000003E-5</v>
      </c>
    </row>
    <row r="14" spans="1:5" ht="16.5" x14ac:dyDescent="0.25">
      <c r="A14" s="24"/>
      <c r="B14" s="46" t="s">
        <v>57</v>
      </c>
      <c r="C14" s="47"/>
      <c r="D14" s="50">
        <v>2.5</v>
      </c>
      <c r="E14" s="50">
        <v>2.5</v>
      </c>
    </row>
    <row r="15" spans="1:5" ht="15.75" x14ac:dyDescent="0.2">
      <c r="A15" s="24"/>
      <c r="B15" s="46" t="s">
        <v>58</v>
      </c>
      <c r="C15" s="47"/>
      <c r="D15" s="51">
        <f>'[1]Heat Inputs'!$M$28</f>
        <v>9642.6613932537421</v>
      </c>
      <c r="E15" s="51">
        <f>'[1]Heat Inputs'!$M$28</f>
        <v>9642.6613932537421</v>
      </c>
    </row>
    <row r="16" spans="1:5" ht="16.5" x14ac:dyDescent="0.25">
      <c r="A16" s="24"/>
      <c r="B16" s="46" t="s">
        <v>59</v>
      </c>
      <c r="C16" s="47"/>
      <c r="D16" s="50">
        <v>23.06</v>
      </c>
      <c r="E16" s="50">
        <v>23.06</v>
      </c>
    </row>
    <row r="17" spans="1:5" ht="25.5" x14ac:dyDescent="0.2">
      <c r="A17" s="24"/>
      <c r="B17" s="52" t="s">
        <v>60</v>
      </c>
      <c r="C17" s="53" t="s">
        <v>61</v>
      </c>
      <c r="D17" s="54">
        <f>(0.0325*(1+0.0325)^20)/((1+0.0325)^20-1)</f>
        <v>6.8778883857226317E-2</v>
      </c>
      <c r="E17" s="54">
        <f>(0.0325*(1+0.0325)^20)/((1+0.0325)^20-1)</f>
        <v>6.8778883857226317E-2</v>
      </c>
    </row>
    <row r="18" spans="1:5" x14ac:dyDescent="0.2">
      <c r="A18" s="24"/>
      <c r="B18" s="55"/>
      <c r="C18" s="56" t="s">
        <v>62</v>
      </c>
      <c r="D18" s="57"/>
      <c r="E18" s="57"/>
    </row>
    <row r="19" spans="1:5" ht="15.75" x14ac:dyDescent="0.2">
      <c r="A19" s="24"/>
      <c r="B19" s="58" t="s">
        <v>63</v>
      </c>
      <c r="C19" s="59"/>
      <c r="D19" s="60"/>
      <c r="E19" s="60"/>
    </row>
    <row r="20" spans="1:5" x14ac:dyDescent="0.2">
      <c r="A20" s="24"/>
      <c r="B20" s="61" t="s">
        <v>64</v>
      </c>
      <c r="C20" s="62">
        <v>607.5</v>
      </c>
      <c r="D20" s="42"/>
      <c r="E20" s="42"/>
    </row>
    <row r="21" spans="1:5" ht="13.5" thickBot="1" x14ac:dyDescent="0.25">
      <c r="A21" s="24"/>
      <c r="B21" s="63" t="s">
        <v>65</v>
      </c>
      <c r="C21" s="64">
        <v>389.5</v>
      </c>
      <c r="D21" s="57"/>
      <c r="E21" s="57"/>
    </row>
    <row r="22" spans="1:5" ht="13.5" thickBot="1" x14ac:dyDescent="0.25">
      <c r="A22" s="24"/>
      <c r="B22" s="65" t="s">
        <v>66</v>
      </c>
      <c r="C22" s="66"/>
      <c r="D22" s="67"/>
      <c r="E22" s="67"/>
    </row>
    <row r="23" spans="1:5" ht="28.5" x14ac:dyDescent="0.25">
      <c r="A23" s="24"/>
      <c r="B23" s="68" t="s">
        <v>67</v>
      </c>
      <c r="C23" s="69" t="s">
        <v>68</v>
      </c>
      <c r="D23" s="70">
        <f>950*D7*((2375/D7)^0.557)*(0.66+(0.85*D59))*($C$20/$C$21)</f>
        <v>2196982.4876493402</v>
      </c>
      <c r="E23" s="70">
        <f>950*E7*((2375/E7)^0.557)*(0.66+(0.85*E59))*($C$20/$C$21)</f>
        <v>1963553.0983365977</v>
      </c>
    </row>
    <row r="24" spans="1:5" x14ac:dyDescent="0.2">
      <c r="A24" s="24"/>
      <c r="B24" s="71" t="s">
        <v>69</v>
      </c>
      <c r="C24" s="72"/>
      <c r="D24" s="73"/>
      <c r="E24" s="73"/>
    </row>
    <row r="25" spans="1:5" x14ac:dyDescent="0.2">
      <c r="A25" s="24"/>
      <c r="B25" s="46" t="s">
        <v>70</v>
      </c>
      <c r="C25" s="47" t="s">
        <v>71</v>
      </c>
      <c r="D25" s="74">
        <f t="shared" ref="D25:E25" si="2">0.05*D23</f>
        <v>109849.12438246701</v>
      </c>
      <c r="E25" s="74">
        <f t="shared" si="2"/>
        <v>98177.654916829895</v>
      </c>
    </row>
    <row r="26" spans="1:5" x14ac:dyDescent="0.2">
      <c r="A26" s="24"/>
      <c r="B26" s="46" t="s">
        <v>72</v>
      </c>
      <c r="C26" s="47" t="s">
        <v>73</v>
      </c>
      <c r="D26" s="74">
        <f t="shared" ref="D26:E26" si="3">0.1*D23</f>
        <v>219698.24876493402</v>
      </c>
      <c r="E26" s="74">
        <f t="shared" si="3"/>
        <v>196355.30983365979</v>
      </c>
    </row>
    <row r="27" spans="1:5" x14ac:dyDescent="0.2">
      <c r="A27" s="24"/>
      <c r="B27" s="46" t="s">
        <v>74</v>
      </c>
      <c r="C27" s="47" t="s">
        <v>71</v>
      </c>
      <c r="D27" s="74">
        <f t="shared" ref="D27:E27" si="4">0.05*D23</f>
        <v>109849.12438246701</v>
      </c>
      <c r="E27" s="74">
        <f t="shared" si="4"/>
        <v>98177.654916829895</v>
      </c>
    </row>
    <row r="28" spans="1:5" ht="25.5" x14ac:dyDescent="0.2">
      <c r="A28" s="24"/>
      <c r="B28" s="46" t="s">
        <v>75</v>
      </c>
      <c r="C28" s="75" t="s">
        <v>76</v>
      </c>
      <c r="D28" s="74">
        <f t="shared" ref="D28:E28" si="5">SUM(D25:D27)</f>
        <v>439396.49752986804</v>
      </c>
      <c r="E28" s="74">
        <f t="shared" si="5"/>
        <v>392710.61966731958</v>
      </c>
    </row>
    <row r="29" spans="1:5" x14ac:dyDescent="0.2">
      <c r="A29" s="24"/>
      <c r="B29" s="76" t="s">
        <v>77</v>
      </c>
      <c r="C29" s="72"/>
      <c r="D29" s="77"/>
      <c r="E29" s="77"/>
    </row>
    <row r="30" spans="1:5" x14ac:dyDescent="0.2">
      <c r="A30" s="24"/>
      <c r="B30" s="46" t="s">
        <v>78</v>
      </c>
      <c r="C30" s="44" t="s">
        <v>79</v>
      </c>
      <c r="D30" s="74">
        <f t="shared" ref="D30:E30" si="6" xml:space="preserve"> 0.15*(D23+D28)</f>
        <v>395456.84777688124</v>
      </c>
      <c r="E30" s="74">
        <f t="shared" si="6"/>
        <v>353439.55770058761</v>
      </c>
    </row>
    <row r="31" spans="1:5" x14ac:dyDescent="0.2">
      <c r="A31" s="24"/>
      <c r="B31" s="46" t="s">
        <v>80</v>
      </c>
      <c r="C31" s="44" t="s">
        <v>81</v>
      </c>
      <c r="D31" s="74">
        <f t="shared" ref="D31:E31" si="7" xml:space="preserve"> D23+D28+D30</f>
        <v>3031835.8329560896</v>
      </c>
      <c r="E31" s="74">
        <f t="shared" si="7"/>
        <v>2709703.2757045049</v>
      </c>
    </row>
    <row r="32" spans="1:5" x14ac:dyDescent="0.2">
      <c r="A32" s="24"/>
      <c r="B32" s="46" t="s">
        <v>82</v>
      </c>
      <c r="C32" s="44" t="s">
        <v>83</v>
      </c>
      <c r="D32" s="74">
        <v>0</v>
      </c>
      <c r="E32" s="74">
        <v>0</v>
      </c>
    </row>
    <row r="33" spans="1:5" x14ac:dyDescent="0.2">
      <c r="A33" s="24"/>
      <c r="B33" s="46" t="s">
        <v>84</v>
      </c>
      <c r="C33" s="44" t="s">
        <v>85</v>
      </c>
      <c r="D33" s="74">
        <v>0</v>
      </c>
      <c r="E33" s="74">
        <v>0</v>
      </c>
    </row>
    <row r="34" spans="1:5" x14ac:dyDescent="0.2">
      <c r="A34" s="24"/>
      <c r="B34" s="46" t="s">
        <v>86</v>
      </c>
      <c r="C34" s="44" t="s">
        <v>87</v>
      </c>
      <c r="D34" s="74">
        <f t="shared" ref="D34:E34" si="8">0.02*(D31+D32)</f>
        <v>60636.716659121797</v>
      </c>
      <c r="E34" s="74">
        <f t="shared" si="8"/>
        <v>54194.0655140901</v>
      </c>
    </row>
    <row r="35" spans="1:5" ht="16.5" x14ac:dyDescent="0.25">
      <c r="A35" s="24"/>
      <c r="B35" s="46" t="s">
        <v>88</v>
      </c>
      <c r="C35" s="44" t="s">
        <v>89</v>
      </c>
      <c r="D35" s="74">
        <f t="shared" ref="D35:E35" si="9">D37*D36</f>
        <v>28098.5376</v>
      </c>
      <c r="E35" s="74">
        <f t="shared" si="9"/>
        <v>28098.5376</v>
      </c>
    </row>
    <row r="36" spans="1:5" ht="16.5" x14ac:dyDescent="0.25">
      <c r="A36" s="24"/>
      <c r="B36" s="46" t="s">
        <v>90</v>
      </c>
      <c r="C36" s="78"/>
      <c r="D36" s="45">
        <f t="shared" ref="D36:E36" si="10">9.5*373/2000</f>
        <v>1.7717499999999999</v>
      </c>
      <c r="E36" s="45">
        <f t="shared" si="10"/>
        <v>1.7717499999999999</v>
      </c>
    </row>
    <row r="37" spans="1:5" ht="14.25" x14ac:dyDescent="0.25">
      <c r="A37" s="24"/>
      <c r="B37" s="46" t="s">
        <v>91</v>
      </c>
      <c r="C37" s="44" t="s">
        <v>92</v>
      </c>
      <c r="D37" s="51">
        <f t="shared" ref="D37:E37" si="11">D38*14*24</f>
        <v>15859.2</v>
      </c>
      <c r="E37" s="51">
        <f t="shared" si="11"/>
        <v>15859.2</v>
      </c>
    </row>
    <row r="38" spans="1:5" ht="16.5" x14ac:dyDescent="0.25">
      <c r="A38" s="24"/>
      <c r="B38" s="79" t="s">
        <v>93</v>
      </c>
      <c r="C38" s="80" t="s">
        <v>94</v>
      </c>
      <c r="D38" s="81">
        <v>47.2</v>
      </c>
      <c r="E38" s="81">
        <v>47.2</v>
      </c>
    </row>
    <row r="39" spans="1:5" ht="16.5" x14ac:dyDescent="0.25">
      <c r="A39" s="24"/>
      <c r="B39" s="46" t="s">
        <v>95</v>
      </c>
      <c r="C39" s="80" t="s">
        <v>94</v>
      </c>
      <c r="D39" s="82">
        <f t="shared" ref="D39:E39" si="12">D38*9.5</f>
        <v>448.40000000000003</v>
      </c>
      <c r="E39" s="82">
        <f t="shared" si="12"/>
        <v>448.40000000000003</v>
      </c>
    </row>
    <row r="40" spans="1:5" ht="16.5" x14ac:dyDescent="0.25">
      <c r="A40" s="24"/>
      <c r="B40" s="46" t="s">
        <v>96</v>
      </c>
      <c r="C40" s="80" t="s">
        <v>94</v>
      </c>
      <c r="D40" s="82">
        <f t="shared" ref="D40:E40" si="13">D39*0.5</f>
        <v>224.20000000000002</v>
      </c>
      <c r="E40" s="82">
        <f t="shared" si="13"/>
        <v>224.20000000000002</v>
      </c>
    </row>
    <row r="41" spans="1:5" x14ac:dyDescent="0.2">
      <c r="A41" s="24"/>
      <c r="B41" s="46" t="s">
        <v>97</v>
      </c>
      <c r="C41" s="44" t="s">
        <v>98</v>
      </c>
      <c r="D41" s="82"/>
      <c r="E41" s="82"/>
    </row>
    <row r="42" spans="1:5" x14ac:dyDescent="0.2">
      <c r="A42" s="24"/>
      <c r="B42" s="79" t="s">
        <v>99</v>
      </c>
      <c r="C42" s="80" t="s">
        <v>100</v>
      </c>
      <c r="D42" s="74">
        <v>0</v>
      </c>
      <c r="E42" s="74">
        <v>0</v>
      </c>
    </row>
    <row r="43" spans="1:5" x14ac:dyDescent="0.2">
      <c r="A43" s="24"/>
      <c r="B43" s="83" t="s">
        <v>101</v>
      </c>
      <c r="C43" s="84" t="s">
        <v>102</v>
      </c>
      <c r="D43" s="77">
        <f t="shared" ref="D43:E43" si="14">SUM(D31:D35,D42)</f>
        <v>3120571.0872152112</v>
      </c>
      <c r="E43" s="77">
        <f t="shared" si="14"/>
        <v>2791995.8788185949</v>
      </c>
    </row>
    <row r="44" spans="1:5" ht="13.5" thickBot="1" x14ac:dyDescent="0.25">
      <c r="A44" s="24"/>
      <c r="B44" s="85"/>
      <c r="C44" s="86"/>
      <c r="D44" s="87"/>
      <c r="E44" s="21"/>
    </row>
    <row r="45" spans="1:5" ht="13.5" thickBot="1" x14ac:dyDescent="0.25">
      <c r="A45" s="24"/>
      <c r="B45" s="65" t="s">
        <v>103</v>
      </c>
      <c r="C45" s="66"/>
      <c r="D45" s="88"/>
      <c r="E45" s="21"/>
    </row>
    <row r="46" spans="1:5" x14ac:dyDescent="0.2">
      <c r="A46" s="24"/>
      <c r="B46" s="46" t="s">
        <v>104</v>
      </c>
      <c r="C46" s="47" t="s">
        <v>105</v>
      </c>
      <c r="D46" s="74">
        <f t="shared" ref="D46:E46" si="15">0.015*D43</f>
        <v>46808.566308228168</v>
      </c>
      <c r="E46" s="74">
        <f t="shared" si="15"/>
        <v>41879.938182278922</v>
      </c>
    </row>
    <row r="47" spans="1:5" ht="14.25" x14ac:dyDescent="0.25">
      <c r="A47" s="24"/>
      <c r="B47" s="46" t="s">
        <v>106</v>
      </c>
      <c r="C47" s="47" t="s">
        <v>107</v>
      </c>
      <c r="D47" s="74">
        <f t="shared" ref="D47:E47" si="16">D38*D36*D8</f>
        <v>49772.286039140003</v>
      </c>
      <c r="E47" s="74">
        <f t="shared" si="16"/>
        <v>711032.65770199988</v>
      </c>
    </row>
    <row r="48" spans="1:5" x14ac:dyDescent="0.2">
      <c r="A48" s="24"/>
      <c r="B48" s="46" t="s">
        <v>108</v>
      </c>
      <c r="C48" s="47" t="s">
        <v>109</v>
      </c>
      <c r="D48" s="74"/>
      <c r="E48" s="74"/>
    </row>
    <row r="49" spans="1:5" x14ac:dyDescent="0.2">
      <c r="A49" s="24"/>
      <c r="B49" s="46" t="s">
        <v>110</v>
      </c>
      <c r="C49" s="47" t="s">
        <v>109</v>
      </c>
      <c r="D49" s="45"/>
      <c r="E49" s="45"/>
    </row>
    <row r="50" spans="1:5" ht="14.25" x14ac:dyDescent="0.25">
      <c r="A50" s="24"/>
      <c r="B50" s="46" t="s">
        <v>111</v>
      </c>
      <c r="C50" s="47" t="s">
        <v>112</v>
      </c>
      <c r="D50" s="74">
        <f t="shared" ref="D50:E50" si="17">D51*D13*D8</f>
        <v>10.003435023488077</v>
      </c>
      <c r="E50" s="74">
        <f t="shared" si="17"/>
        <v>142.90621462125821</v>
      </c>
    </row>
    <row r="51" spans="1:5" ht="16.5" x14ac:dyDescent="0.25">
      <c r="A51" s="24"/>
      <c r="B51" s="46" t="s">
        <v>113</v>
      </c>
      <c r="C51" s="47" t="s">
        <v>114</v>
      </c>
      <c r="D51" s="45">
        <f t="shared" ref="D51:E51" si="18">(D39/8.345)*((0.5/0.1)-1)</f>
        <v>214.93109646494906</v>
      </c>
      <c r="E51" s="45">
        <f t="shared" si="18"/>
        <v>214.93109646494906</v>
      </c>
    </row>
    <row r="52" spans="1:5" ht="14.25" x14ac:dyDescent="0.25">
      <c r="A52" s="24"/>
      <c r="B52" s="46" t="s">
        <v>115</v>
      </c>
      <c r="C52" s="47" t="s">
        <v>116</v>
      </c>
      <c r="D52" s="74">
        <f t="shared" ref="D52:E52" si="19">D53*D14*D8</f>
        <v>2702.1147246450005</v>
      </c>
      <c r="E52" s="74">
        <f t="shared" si="19"/>
        <v>38601.638923500002</v>
      </c>
    </row>
    <row r="53" spans="1:5" ht="16.5" x14ac:dyDescent="0.25">
      <c r="A53" s="24"/>
      <c r="B53" s="46" t="s">
        <v>117</v>
      </c>
      <c r="C53" s="47" t="s">
        <v>118</v>
      </c>
      <c r="D53" s="45">
        <f>(900*D40*((1/0.1)-1))/10^6</f>
        <v>1.8160200000000002</v>
      </c>
      <c r="E53" s="45">
        <f>(900*E40*((1/0.1)-1))/10^6</f>
        <v>1.8160200000000002</v>
      </c>
    </row>
    <row r="54" spans="1:5" ht="14.25" x14ac:dyDescent="0.25">
      <c r="A54" s="24"/>
      <c r="B54" s="46" t="s">
        <v>119</v>
      </c>
      <c r="C54" s="47" t="s">
        <v>120</v>
      </c>
      <c r="D54" s="74">
        <f t="shared" ref="D54:E54" si="20">(D55*D16*D8)/2000</f>
        <v>96.929825194175038</v>
      </c>
      <c r="E54" s="74">
        <f t="shared" si="20"/>
        <v>1384.7117884882146</v>
      </c>
    </row>
    <row r="55" spans="1:5" ht="15.75" x14ac:dyDescent="0.2">
      <c r="A55" s="24"/>
      <c r="B55" s="89" t="s">
        <v>121</v>
      </c>
      <c r="C55" s="47" t="s">
        <v>122</v>
      </c>
      <c r="D55" s="90">
        <f t="shared" ref="D55:E55" si="21">(D53*0.075*10^6)/D15</f>
        <v>14.124886734619773</v>
      </c>
      <c r="E55" s="90">
        <f t="shared" si="21"/>
        <v>14.124886734619773</v>
      </c>
    </row>
    <row r="56" spans="1:5" x14ac:dyDescent="0.2">
      <c r="A56" s="24"/>
      <c r="B56" s="83" t="s">
        <v>123</v>
      </c>
      <c r="C56" s="84" t="s">
        <v>124</v>
      </c>
      <c r="D56" s="77">
        <f t="shared" ref="D56:E56" si="22">SUM(D46:D48,D50,D52,D54)</f>
        <v>99389.900332230842</v>
      </c>
      <c r="E56" s="77">
        <f t="shared" si="22"/>
        <v>793041.8528108882</v>
      </c>
    </row>
    <row r="57" spans="1:5" ht="26.25" thickBot="1" x14ac:dyDescent="0.25">
      <c r="A57" s="24"/>
      <c r="B57" s="91" t="s">
        <v>125</v>
      </c>
      <c r="C57" s="92" t="s">
        <v>126</v>
      </c>
      <c r="D57" s="93">
        <f t="shared" ref="D57:E57" si="23">D17*D43</f>
        <v>214629.39637579347</v>
      </c>
      <c r="E57" s="93">
        <f t="shared" si="23"/>
        <v>192030.36027911867</v>
      </c>
    </row>
    <row r="58" spans="1:5" ht="13.5" thickBot="1" x14ac:dyDescent="0.25">
      <c r="A58" s="24"/>
      <c r="B58" s="94" t="s">
        <v>127</v>
      </c>
      <c r="C58" s="95" t="s">
        <v>128</v>
      </c>
      <c r="D58" s="96">
        <f t="shared" ref="D58:E58" si="24">D56+D57</f>
        <v>314019.29670802434</v>
      </c>
      <c r="E58" s="96">
        <f t="shared" si="24"/>
        <v>985072.21309000684</v>
      </c>
    </row>
    <row r="59" spans="1:5" ht="13.5" thickBot="1" x14ac:dyDescent="0.25">
      <c r="A59" s="24"/>
      <c r="B59" s="97" t="s">
        <v>129</v>
      </c>
      <c r="C59" s="98"/>
      <c r="D59" s="99">
        <v>0.4</v>
      </c>
      <c r="E59" s="99">
        <v>0.27500000000000002</v>
      </c>
    </row>
    <row r="60" spans="1:5" s="104" customFormat="1" ht="13.5" hidden="1" thickBot="1" x14ac:dyDescent="0.25">
      <c r="A60" s="100"/>
      <c r="B60" s="101" t="s">
        <v>130</v>
      </c>
      <c r="C60" s="102"/>
      <c r="D60" s="103">
        <f>[1]Inputs!F40</f>
        <v>1455.7084593999998</v>
      </c>
      <c r="E60" s="103" t="e">
        <f>[1]Inputs!G40</f>
        <v>#REF!</v>
      </c>
    </row>
    <row r="61" spans="1:5" s="104" customFormat="1" ht="13.5" hidden="1" thickBot="1" x14ac:dyDescent="0.25">
      <c r="A61" s="100"/>
      <c r="B61" s="101" t="s">
        <v>131</v>
      </c>
      <c r="C61" s="102"/>
      <c r="D61" s="105">
        <f>[1]Inputs!D40</f>
        <v>0.41758536585365846</v>
      </c>
      <c r="E61" s="105" t="e">
        <f>[1]Inputs!E40</f>
        <v>#REF!</v>
      </c>
    </row>
    <row r="62" spans="1:5" ht="13.5" x14ac:dyDescent="0.25">
      <c r="A62" s="24"/>
      <c r="B62" s="106" t="s">
        <v>132</v>
      </c>
      <c r="C62" s="107"/>
      <c r="D62" s="108"/>
      <c r="E62" s="108"/>
    </row>
    <row r="63" spans="1:5" x14ac:dyDescent="0.2">
      <c r="A63" s="24"/>
      <c r="B63" s="109" t="s">
        <v>133</v>
      </c>
      <c r="C63" s="98"/>
      <c r="D63" s="110">
        <v>559.9</v>
      </c>
      <c r="E63" s="110">
        <v>559.9</v>
      </c>
    </row>
    <row r="64" spans="1:5" s="104" customFormat="1" hidden="1" x14ac:dyDescent="0.2">
      <c r="A64" s="100"/>
      <c r="B64" s="111" t="s">
        <v>130</v>
      </c>
      <c r="C64" s="102"/>
      <c r="D64" s="103" t="e">
        <f>[1]Inputs!F47</f>
        <v>#REF!</v>
      </c>
      <c r="E64" s="103" t="e">
        <f>[1]Inputs!G47</f>
        <v>#REF!</v>
      </c>
    </row>
    <row r="65" spans="1:5" s="104" customFormat="1" hidden="1" x14ac:dyDescent="0.2">
      <c r="A65" s="100"/>
      <c r="B65" s="111" t="s">
        <v>131</v>
      </c>
      <c r="C65" s="102"/>
      <c r="D65" s="105" t="e">
        <f>[1]Inputs!D47</f>
        <v>#REF!</v>
      </c>
      <c r="E65" s="105" t="e">
        <f>[1]Inputs!E47</f>
        <v>#REF!</v>
      </c>
    </row>
    <row r="66" spans="1:5" x14ac:dyDescent="0.2">
      <c r="A66" s="24"/>
      <c r="B66" s="109" t="s">
        <v>134</v>
      </c>
      <c r="C66" s="98"/>
      <c r="D66" s="112">
        <f>D63*D59*D11</f>
        <v>15.677200000000003</v>
      </c>
      <c r="E66" s="112">
        <f>E63*E59*E11</f>
        <v>153.9725</v>
      </c>
    </row>
    <row r="67" spans="1:5" ht="13.5" thickBot="1" x14ac:dyDescent="0.25">
      <c r="A67" s="22"/>
      <c r="B67" s="113" t="s">
        <v>135</v>
      </c>
      <c r="C67" s="86"/>
      <c r="D67" s="114">
        <f>D58/D66</f>
        <v>20030.317703928271</v>
      </c>
      <c r="E67" s="114">
        <f>E58/E66</f>
        <v>6397.7152614265979</v>
      </c>
    </row>
    <row r="68" spans="1:5" x14ac:dyDescent="0.2">
      <c r="A68" s="22"/>
      <c r="B68" s="115"/>
      <c r="C68" s="116"/>
      <c r="D68" s="117"/>
      <c r="E68" s="118"/>
    </row>
    <row r="69" spans="1:5" x14ac:dyDescent="0.2">
      <c r="A69" s="22"/>
      <c r="B69" s="115"/>
      <c r="C69" s="116"/>
      <c r="D69" s="118"/>
    </row>
    <row r="70" spans="1:5" x14ac:dyDescent="0.2">
      <c r="A70" s="22"/>
      <c r="B70" s="115"/>
      <c r="C70" s="116"/>
      <c r="D70" s="118"/>
    </row>
    <row r="71" spans="1:5" x14ac:dyDescent="0.2">
      <c r="A71" s="22"/>
      <c r="B71" s="115"/>
      <c r="C71" s="119"/>
      <c r="D71" s="120"/>
    </row>
    <row r="72" spans="1:5" x14ac:dyDescent="0.2">
      <c r="A72" s="22"/>
      <c r="B72" s="115"/>
      <c r="C72" s="119"/>
      <c r="D72" s="118"/>
    </row>
    <row r="73" spans="1:5" x14ac:dyDescent="0.2">
      <c r="A73" s="22"/>
      <c r="B73" s="115"/>
      <c r="C73" s="119"/>
      <c r="D73" s="120"/>
    </row>
    <row r="74" spans="1:5" ht="15.75" x14ac:dyDescent="0.2">
      <c r="A74" s="22"/>
      <c r="B74" s="121" t="s">
        <v>136</v>
      </c>
      <c r="C74" s="121"/>
      <c r="D74" s="122"/>
    </row>
    <row r="75" spans="1:5" ht="15.75" x14ac:dyDescent="0.2">
      <c r="A75" s="22"/>
      <c r="B75" s="123" t="s">
        <v>137</v>
      </c>
      <c r="C75" s="123"/>
      <c r="D75" s="122"/>
    </row>
    <row r="76" spans="1:5" ht="16.5" x14ac:dyDescent="0.2">
      <c r="A76" s="22"/>
      <c r="B76" s="123" t="s">
        <v>138</v>
      </c>
      <c r="C76" s="123" t="s">
        <v>139</v>
      </c>
      <c r="D76" s="122"/>
    </row>
    <row r="77" spans="1:5" ht="2.25" customHeight="1" x14ac:dyDescent="0.2">
      <c r="A77" s="22"/>
      <c r="B77" s="121"/>
      <c r="C77" s="121"/>
      <c r="D77" s="122"/>
    </row>
    <row r="78" spans="1:5" ht="15.75" x14ac:dyDescent="0.2">
      <c r="A78" s="22"/>
      <c r="B78" s="123" t="s">
        <v>140</v>
      </c>
      <c r="C78" s="121"/>
      <c r="D78" s="122"/>
    </row>
    <row r="79" spans="1:5" ht="15.75" x14ac:dyDescent="0.2">
      <c r="A79" s="22"/>
      <c r="B79" s="121" t="s">
        <v>141</v>
      </c>
      <c r="C79" s="123"/>
      <c r="D79" s="122"/>
    </row>
    <row r="80" spans="1:5" ht="15.75" x14ac:dyDescent="0.2">
      <c r="A80" s="22"/>
      <c r="B80" s="121" t="s">
        <v>142</v>
      </c>
      <c r="C80" s="123"/>
      <c r="D80" s="122"/>
    </row>
    <row r="81" spans="1:5" ht="15.75" customHeight="1" x14ac:dyDescent="0.2">
      <c r="A81" s="22"/>
      <c r="B81" s="121" t="s">
        <v>143</v>
      </c>
      <c r="C81" s="123"/>
      <c r="D81" s="122"/>
    </row>
    <row r="82" spans="1:5" ht="18" customHeight="1" x14ac:dyDescent="0.2">
      <c r="A82" s="22"/>
      <c r="B82" s="136" t="s">
        <v>144</v>
      </c>
      <c r="C82" s="136"/>
      <c r="D82" s="122"/>
    </row>
    <row r="83" spans="1:5" ht="21" customHeight="1" x14ac:dyDescent="0.2">
      <c r="A83" s="22"/>
      <c r="B83" s="136" t="s">
        <v>145</v>
      </c>
      <c r="C83" s="136"/>
      <c r="D83" s="122"/>
    </row>
    <row r="84" spans="1:5" ht="15.75" x14ac:dyDescent="0.2">
      <c r="A84" s="22"/>
      <c r="B84" s="121" t="s">
        <v>146</v>
      </c>
      <c r="C84" s="121"/>
      <c r="D84" s="122"/>
    </row>
    <row r="85" spans="1:5" ht="15.75" x14ac:dyDescent="0.2">
      <c r="A85" s="22"/>
      <c r="B85" s="121" t="s">
        <v>147</v>
      </c>
      <c r="C85" s="123"/>
      <c r="D85" s="122"/>
    </row>
    <row r="86" spans="1:5" ht="46.5" customHeight="1" x14ac:dyDescent="0.2">
      <c r="A86" s="22"/>
      <c r="B86" s="139" t="s">
        <v>148</v>
      </c>
      <c r="C86" s="140"/>
      <c r="D86" s="140"/>
      <c r="E86" s="124"/>
    </row>
    <row r="87" spans="1:5" ht="16.5" x14ac:dyDescent="0.2">
      <c r="A87" s="22"/>
      <c r="B87" s="123" t="s">
        <v>149</v>
      </c>
      <c r="C87" s="123"/>
      <c r="D87" s="122"/>
    </row>
    <row r="88" spans="1:5" ht="16.5" x14ac:dyDescent="0.2">
      <c r="A88" s="22"/>
      <c r="B88" s="123" t="s">
        <v>150</v>
      </c>
      <c r="C88" s="123"/>
      <c r="D88" s="122"/>
    </row>
    <row r="89" spans="1:5" x14ac:dyDescent="0.2">
      <c r="A89" s="22"/>
      <c r="B89" s="125"/>
      <c r="C89" s="125"/>
      <c r="D89" s="122"/>
    </row>
    <row r="90" spans="1:5" ht="56.25" customHeight="1" x14ac:dyDescent="0.2">
      <c r="A90" s="22"/>
      <c r="B90" s="136" t="s">
        <v>151</v>
      </c>
      <c r="C90" s="136"/>
      <c r="D90" s="122"/>
    </row>
    <row r="91" spans="1:5" ht="19.5" customHeight="1" x14ac:dyDescent="0.2">
      <c r="A91" s="22"/>
      <c r="B91" s="121" t="s">
        <v>152</v>
      </c>
      <c r="C91" s="121"/>
      <c r="D91" s="122"/>
    </row>
    <row r="92" spans="1:5" ht="32.25" customHeight="1" x14ac:dyDescent="0.2">
      <c r="A92" s="22"/>
      <c r="B92" s="136" t="s">
        <v>153</v>
      </c>
      <c r="C92" s="136"/>
      <c r="D92" s="122"/>
    </row>
    <row r="105" spans="2:3" x14ac:dyDescent="0.2">
      <c r="B105" s="126"/>
      <c r="C105" s="127"/>
    </row>
  </sheetData>
  <mergeCells count="6">
    <mergeCell ref="B92:C92"/>
    <mergeCell ref="B1:D1"/>
    <mergeCell ref="B82:C82"/>
    <mergeCell ref="B83:C83"/>
    <mergeCell ref="B86:D86"/>
    <mergeCell ref="B90:C90"/>
  </mergeCells>
  <pageMargins left="0.7" right="0.7" top="0.75" bottom="0.75" header="0.3" footer="0.3"/>
  <pageSetup scale="63" orientation="portrait" r:id="rId1"/>
  <rowBreaks count="1" manualBreakCount="1">
    <brk id="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2"/>
  <sheetViews>
    <sheetView view="pageBreakPreview" zoomScaleNormal="100" zoomScaleSheetLayoutView="100" workbookViewId="0">
      <selection activeCell="B70" sqref="B70"/>
    </sheetView>
  </sheetViews>
  <sheetFormatPr defaultColWidth="9.140625" defaultRowHeight="12.75" x14ac:dyDescent="0.2"/>
  <cols>
    <col min="1" max="1" width="2.7109375" style="21" customWidth="1"/>
    <col min="2" max="2" width="43.85546875" style="21" customWidth="1"/>
    <col min="3" max="3" width="54.42578125" style="21" customWidth="1"/>
    <col min="4" max="4" width="20.42578125" style="21" customWidth="1"/>
    <col min="5" max="5" width="9.85546875" style="20" bestFit="1" customWidth="1"/>
    <col min="6" max="16384" width="9.140625" style="21"/>
  </cols>
  <sheetData>
    <row r="1" spans="1:5" x14ac:dyDescent="0.2">
      <c r="A1" s="19"/>
      <c r="B1" s="137" t="s">
        <v>154</v>
      </c>
      <c r="C1" s="138"/>
      <c r="D1" s="138"/>
    </row>
    <row r="2" spans="1:5" ht="13.5" thickBot="1" x14ac:dyDescent="0.25">
      <c r="A2" s="22"/>
      <c r="B2" s="23"/>
      <c r="C2" s="23"/>
      <c r="D2" s="23"/>
    </row>
    <row r="3" spans="1:5" ht="4.5" customHeight="1" x14ac:dyDescent="0.2">
      <c r="A3" s="24"/>
      <c r="B3" s="25"/>
      <c r="C3" s="26"/>
      <c r="D3" s="27"/>
      <c r="E3" s="28"/>
    </row>
    <row r="4" spans="1:5" x14ac:dyDescent="0.2">
      <c r="A4" s="24"/>
      <c r="B4" s="29" t="s">
        <v>39</v>
      </c>
      <c r="C4" s="30"/>
      <c r="D4" s="31"/>
    </row>
    <row r="5" spans="1:5" ht="15.75" thickBot="1" x14ac:dyDescent="0.3">
      <c r="A5" s="24"/>
      <c r="B5" s="33" t="s">
        <v>40</v>
      </c>
      <c r="C5" s="34"/>
      <c r="D5" s="35" t="s">
        <v>41</v>
      </c>
      <c r="E5" s="36" t="s">
        <v>41</v>
      </c>
    </row>
    <row r="6" spans="1:5" ht="15.75" x14ac:dyDescent="0.2">
      <c r="A6" s="24"/>
      <c r="B6" s="37" t="s">
        <v>43</v>
      </c>
      <c r="C6" s="38" t="s">
        <v>44</v>
      </c>
      <c r="D6" s="39" t="s">
        <v>155</v>
      </c>
      <c r="E6" s="128" t="s">
        <v>155</v>
      </c>
    </row>
    <row r="7" spans="1:5" ht="14.25" x14ac:dyDescent="0.25">
      <c r="A7" s="24"/>
      <c r="B7" s="40" t="s">
        <v>46</v>
      </c>
      <c r="C7" s="41" t="s">
        <v>47</v>
      </c>
      <c r="D7" s="42">
        <f>[1]Inputs!$C$4</f>
        <v>820</v>
      </c>
      <c r="E7" s="42">
        <f>[1]Inputs!$C$4</f>
        <v>820</v>
      </c>
    </row>
    <row r="8" spans="1:5" ht="14.25" x14ac:dyDescent="0.25">
      <c r="A8" s="24"/>
      <c r="B8" s="43" t="s">
        <v>48</v>
      </c>
      <c r="C8" s="44" t="s">
        <v>49</v>
      </c>
      <c r="D8" s="45">
        <f>D9*8760</f>
        <v>595.17290000000003</v>
      </c>
      <c r="E8" s="45">
        <f>E9*8760</f>
        <v>8502.4699999999993</v>
      </c>
    </row>
    <row r="9" spans="1:5" ht="14.25" x14ac:dyDescent="0.25">
      <c r="A9" s="24"/>
      <c r="B9" s="46" t="s">
        <v>50</v>
      </c>
      <c r="C9" s="47" t="s">
        <v>51</v>
      </c>
      <c r="D9" s="45">
        <f t="shared" ref="D9:E9" si="0">D10*D11</f>
        <v>6.7942111872146119E-2</v>
      </c>
      <c r="E9" s="45">
        <f t="shared" si="0"/>
        <v>0.97060159817351588</v>
      </c>
    </row>
    <row r="10" spans="1:5" ht="16.5" x14ac:dyDescent="0.25">
      <c r="A10" s="24"/>
      <c r="B10" s="46" t="s">
        <v>52</v>
      </c>
      <c r="C10" s="47"/>
      <c r="D10" s="45">
        <f>8502.47/8760</f>
        <v>0.97060159817351588</v>
      </c>
      <c r="E10" s="45">
        <f>8502.47/8760</f>
        <v>0.97060159817351588</v>
      </c>
    </row>
    <row r="11" spans="1:5" ht="16.5" x14ac:dyDescent="0.25">
      <c r="A11" s="24"/>
      <c r="B11" s="46" t="s">
        <v>53</v>
      </c>
      <c r="C11" s="47" t="s">
        <v>54</v>
      </c>
      <c r="D11" s="42">
        <v>7.0000000000000007E-2</v>
      </c>
      <c r="E11" s="42">
        <v>1</v>
      </c>
    </row>
    <row r="12" spans="1:5" ht="16.5" x14ac:dyDescent="0.25">
      <c r="A12" s="24"/>
      <c r="B12" s="46" t="s">
        <v>55</v>
      </c>
      <c r="C12" s="47"/>
      <c r="D12" s="48">
        <v>0.05</v>
      </c>
      <c r="E12" s="48">
        <v>0.05</v>
      </c>
    </row>
    <row r="13" spans="1:5" ht="16.5" x14ac:dyDescent="0.25">
      <c r="A13" s="24"/>
      <c r="B13" s="46" t="s">
        <v>56</v>
      </c>
      <c r="C13" s="47"/>
      <c r="D13" s="49">
        <f t="shared" ref="D13:E13" si="1">78.2/10^6</f>
        <v>7.8200000000000003E-5</v>
      </c>
      <c r="E13" s="49">
        <f t="shared" si="1"/>
        <v>7.8200000000000003E-5</v>
      </c>
    </row>
    <row r="14" spans="1:5" ht="16.5" x14ac:dyDescent="0.25">
      <c r="A14" s="24"/>
      <c r="B14" s="46" t="s">
        <v>57</v>
      </c>
      <c r="C14" s="47"/>
      <c r="D14" s="50">
        <v>2.5</v>
      </c>
      <c r="E14" s="50">
        <v>2.5</v>
      </c>
    </row>
    <row r="15" spans="1:5" ht="15.75" x14ac:dyDescent="0.2">
      <c r="A15" s="24"/>
      <c r="B15" s="46" t="s">
        <v>58</v>
      </c>
      <c r="C15" s="47"/>
      <c r="D15" s="51">
        <f>'[1]Heat Inputs'!$M$28</f>
        <v>9642.6613932537421</v>
      </c>
      <c r="E15" s="51">
        <f>'[1]Heat Inputs'!$M$28</f>
        <v>9642.6613932537421</v>
      </c>
    </row>
    <row r="16" spans="1:5" ht="16.5" x14ac:dyDescent="0.25">
      <c r="A16" s="24"/>
      <c r="B16" s="46" t="s">
        <v>59</v>
      </c>
      <c r="C16" s="47"/>
      <c r="D16" s="50">
        <v>23.06</v>
      </c>
      <c r="E16" s="50">
        <v>23.06</v>
      </c>
    </row>
    <row r="17" spans="1:5" ht="25.5" x14ac:dyDescent="0.2">
      <c r="A17" s="24"/>
      <c r="B17" s="52" t="s">
        <v>60</v>
      </c>
      <c r="C17" s="53" t="s">
        <v>61</v>
      </c>
      <c r="D17" s="54">
        <f>(0.0325*(1+0.0325)^20)/((1+0.0325)^20-1)</f>
        <v>6.8778883857226317E-2</v>
      </c>
      <c r="E17" s="54">
        <f>(0.0325*(1+0.0325)^20)/((1+0.0325)^20-1)</f>
        <v>6.8778883857226317E-2</v>
      </c>
    </row>
    <row r="18" spans="1:5" x14ac:dyDescent="0.2">
      <c r="A18" s="24"/>
      <c r="B18" s="55"/>
      <c r="C18" s="56" t="s">
        <v>62</v>
      </c>
      <c r="D18" s="57"/>
      <c r="E18" s="57"/>
    </row>
    <row r="19" spans="1:5" ht="15.75" x14ac:dyDescent="0.2">
      <c r="A19" s="24"/>
      <c r="B19" s="58" t="s">
        <v>63</v>
      </c>
      <c r="C19" s="59"/>
      <c r="D19" s="60"/>
      <c r="E19" s="60"/>
    </row>
    <row r="20" spans="1:5" x14ac:dyDescent="0.2">
      <c r="A20" s="24"/>
      <c r="B20" s="61" t="s">
        <v>64</v>
      </c>
      <c r="C20" s="62">
        <v>607.5</v>
      </c>
      <c r="D20" s="42"/>
      <c r="E20" s="42"/>
    </row>
    <row r="21" spans="1:5" ht="13.5" thickBot="1" x14ac:dyDescent="0.25">
      <c r="A21" s="24"/>
      <c r="B21" s="63" t="s">
        <v>65</v>
      </c>
      <c r="C21" s="64">
        <v>389.5</v>
      </c>
      <c r="D21" s="57"/>
      <c r="E21" s="57"/>
    </row>
    <row r="22" spans="1:5" ht="13.5" thickBot="1" x14ac:dyDescent="0.25">
      <c r="A22" s="24"/>
      <c r="B22" s="65" t="s">
        <v>66</v>
      </c>
      <c r="C22" s="66"/>
      <c r="D22" s="67"/>
      <c r="E22" s="67"/>
    </row>
    <row r="23" spans="1:5" ht="28.5" x14ac:dyDescent="0.25">
      <c r="A23" s="24"/>
      <c r="B23" s="68" t="s">
        <v>67</v>
      </c>
      <c r="C23" s="69" t="s">
        <v>156</v>
      </c>
      <c r="D23" s="70">
        <f>950*D7*((2375/D7)^0.557)*(0.66+(0.85*D59))*($C$20/$C$21)</f>
        <v>2196982.4876493402</v>
      </c>
      <c r="E23" s="70">
        <f>950*E7*((2375/E7)^0.557)*(0.66+(0.85*E59))*($C$20/$C$21)</f>
        <v>1963553.0983365977</v>
      </c>
    </row>
    <row r="24" spans="1:5" x14ac:dyDescent="0.2">
      <c r="A24" s="24"/>
      <c r="B24" s="71" t="s">
        <v>69</v>
      </c>
      <c r="C24" s="72"/>
      <c r="D24" s="73"/>
      <c r="E24" s="73"/>
    </row>
    <row r="25" spans="1:5" x14ac:dyDescent="0.2">
      <c r="A25" s="24"/>
      <c r="B25" s="46" t="s">
        <v>70</v>
      </c>
      <c r="C25" s="47" t="s">
        <v>71</v>
      </c>
      <c r="D25" s="74">
        <f t="shared" ref="D25:E25" si="2">0.05*D23</f>
        <v>109849.12438246701</v>
      </c>
      <c r="E25" s="74">
        <f t="shared" si="2"/>
        <v>98177.654916829895</v>
      </c>
    </row>
    <row r="26" spans="1:5" x14ac:dyDescent="0.2">
      <c r="A26" s="24"/>
      <c r="B26" s="46" t="s">
        <v>72</v>
      </c>
      <c r="C26" s="47" t="s">
        <v>73</v>
      </c>
      <c r="D26" s="74">
        <f t="shared" ref="D26:E26" si="3">0.1*D23</f>
        <v>219698.24876493402</v>
      </c>
      <c r="E26" s="74">
        <f t="shared" si="3"/>
        <v>196355.30983365979</v>
      </c>
    </row>
    <row r="27" spans="1:5" x14ac:dyDescent="0.2">
      <c r="A27" s="24"/>
      <c r="B27" s="46" t="s">
        <v>74</v>
      </c>
      <c r="C27" s="47" t="s">
        <v>71</v>
      </c>
      <c r="D27" s="74">
        <f t="shared" ref="D27:E27" si="4">0.05*D23</f>
        <v>109849.12438246701</v>
      </c>
      <c r="E27" s="74">
        <f t="shared" si="4"/>
        <v>98177.654916829895</v>
      </c>
    </row>
    <row r="28" spans="1:5" ht="25.5" x14ac:dyDescent="0.2">
      <c r="A28" s="24"/>
      <c r="B28" s="46" t="s">
        <v>75</v>
      </c>
      <c r="C28" s="75" t="s">
        <v>76</v>
      </c>
      <c r="D28" s="74">
        <f t="shared" ref="D28:E28" si="5">SUM(D25:D27)</f>
        <v>439396.49752986804</v>
      </c>
      <c r="E28" s="74">
        <f t="shared" si="5"/>
        <v>392710.61966731958</v>
      </c>
    </row>
    <row r="29" spans="1:5" x14ac:dyDescent="0.2">
      <c r="A29" s="24"/>
      <c r="B29" s="76" t="s">
        <v>77</v>
      </c>
      <c r="C29" s="72"/>
      <c r="D29" s="77"/>
      <c r="E29" s="77"/>
    </row>
    <row r="30" spans="1:5" x14ac:dyDescent="0.2">
      <c r="A30" s="24"/>
      <c r="B30" s="46" t="s">
        <v>78</v>
      </c>
      <c r="C30" s="44" t="s">
        <v>79</v>
      </c>
      <c r="D30" s="74">
        <f t="shared" ref="D30:E30" si="6" xml:space="preserve"> 0.15*(D23+D28)</f>
        <v>395456.84777688124</v>
      </c>
      <c r="E30" s="74">
        <f t="shared" si="6"/>
        <v>353439.55770058761</v>
      </c>
    </row>
    <row r="31" spans="1:5" x14ac:dyDescent="0.2">
      <c r="A31" s="24"/>
      <c r="B31" s="46" t="s">
        <v>80</v>
      </c>
      <c r="C31" s="44" t="s">
        <v>81</v>
      </c>
      <c r="D31" s="74">
        <f t="shared" ref="D31:E31" si="7" xml:space="preserve"> D23+D28+D30</f>
        <v>3031835.8329560896</v>
      </c>
      <c r="E31" s="74">
        <f t="shared" si="7"/>
        <v>2709703.2757045049</v>
      </c>
    </row>
    <row r="32" spans="1:5" x14ac:dyDescent="0.2">
      <c r="A32" s="24"/>
      <c r="B32" s="46" t="s">
        <v>82</v>
      </c>
      <c r="C32" s="44" t="s">
        <v>83</v>
      </c>
      <c r="D32" s="74">
        <v>0</v>
      </c>
      <c r="E32" s="74">
        <v>0</v>
      </c>
    </row>
    <row r="33" spans="1:5" x14ac:dyDescent="0.2">
      <c r="A33" s="24"/>
      <c r="B33" s="46" t="s">
        <v>84</v>
      </c>
      <c r="C33" s="44" t="s">
        <v>85</v>
      </c>
      <c r="D33" s="74">
        <v>0</v>
      </c>
      <c r="E33" s="74">
        <v>0</v>
      </c>
    </row>
    <row r="34" spans="1:5" x14ac:dyDescent="0.2">
      <c r="A34" s="24"/>
      <c r="B34" s="46" t="s">
        <v>86</v>
      </c>
      <c r="C34" s="44" t="s">
        <v>87</v>
      </c>
      <c r="D34" s="74">
        <f t="shared" ref="D34:E34" si="8">0.02*(D31+D32)</f>
        <v>60636.716659121797</v>
      </c>
      <c r="E34" s="74">
        <f t="shared" si="8"/>
        <v>54194.0655140901</v>
      </c>
    </row>
    <row r="35" spans="1:5" ht="16.5" x14ac:dyDescent="0.25">
      <c r="A35" s="24"/>
      <c r="B35" s="46" t="s">
        <v>88</v>
      </c>
      <c r="C35" s="44" t="s">
        <v>89</v>
      </c>
      <c r="D35" s="74">
        <f t="shared" ref="D35:E35" si="9">D37*D36</f>
        <v>28098.5376</v>
      </c>
      <c r="E35" s="74">
        <f t="shared" si="9"/>
        <v>28098.5376</v>
      </c>
    </row>
    <row r="36" spans="1:5" ht="16.5" x14ac:dyDescent="0.25">
      <c r="A36" s="24"/>
      <c r="B36" s="46" t="s">
        <v>90</v>
      </c>
      <c r="C36" s="78"/>
      <c r="D36" s="45">
        <f t="shared" ref="D36:E36" si="10">9.5*373/2000</f>
        <v>1.7717499999999999</v>
      </c>
      <c r="E36" s="45">
        <f t="shared" si="10"/>
        <v>1.7717499999999999</v>
      </c>
    </row>
    <row r="37" spans="1:5" ht="14.25" x14ac:dyDescent="0.25">
      <c r="A37" s="24"/>
      <c r="B37" s="46" t="s">
        <v>91</v>
      </c>
      <c r="C37" s="44" t="s">
        <v>92</v>
      </c>
      <c r="D37" s="51">
        <f t="shared" ref="D37:E37" si="11">D38*14*24</f>
        <v>15859.2</v>
      </c>
      <c r="E37" s="51">
        <f t="shared" si="11"/>
        <v>15859.2</v>
      </c>
    </row>
    <row r="38" spans="1:5" ht="16.5" x14ac:dyDescent="0.25">
      <c r="A38" s="24"/>
      <c r="B38" s="79" t="s">
        <v>93</v>
      </c>
      <c r="C38" s="80" t="s">
        <v>94</v>
      </c>
      <c r="D38" s="81">
        <v>47.2</v>
      </c>
      <c r="E38" s="81">
        <v>47.2</v>
      </c>
    </row>
    <row r="39" spans="1:5" ht="16.5" x14ac:dyDescent="0.25">
      <c r="A39" s="24"/>
      <c r="B39" s="46" t="s">
        <v>95</v>
      </c>
      <c r="C39" s="80" t="s">
        <v>94</v>
      </c>
      <c r="D39" s="82">
        <f t="shared" ref="D39:E39" si="12">D38*9.5</f>
        <v>448.40000000000003</v>
      </c>
      <c r="E39" s="82">
        <f t="shared" si="12"/>
        <v>448.40000000000003</v>
      </c>
    </row>
    <row r="40" spans="1:5" ht="16.5" x14ac:dyDescent="0.25">
      <c r="A40" s="24"/>
      <c r="B40" s="46" t="s">
        <v>96</v>
      </c>
      <c r="C40" s="80" t="s">
        <v>94</v>
      </c>
      <c r="D40" s="82">
        <f t="shared" ref="D40:E40" si="13">D39*0.5</f>
        <v>224.20000000000002</v>
      </c>
      <c r="E40" s="82">
        <f t="shared" si="13"/>
        <v>224.20000000000002</v>
      </c>
    </row>
    <row r="41" spans="1:5" x14ac:dyDescent="0.2">
      <c r="A41" s="24"/>
      <c r="B41" s="46" t="s">
        <v>97</v>
      </c>
      <c r="C41" s="44" t="s">
        <v>98</v>
      </c>
      <c r="D41" s="82"/>
      <c r="E41" s="82"/>
    </row>
    <row r="42" spans="1:5" x14ac:dyDescent="0.2">
      <c r="A42" s="24"/>
      <c r="B42" s="79" t="s">
        <v>99</v>
      </c>
      <c r="C42" s="80" t="s">
        <v>100</v>
      </c>
      <c r="D42" s="74">
        <v>0</v>
      </c>
      <c r="E42" s="74">
        <v>0</v>
      </c>
    </row>
    <row r="43" spans="1:5" x14ac:dyDescent="0.2">
      <c r="A43" s="24"/>
      <c r="B43" s="83" t="s">
        <v>101</v>
      </c>
      <c r="C43" s="84" t="s">
        <v>102</v>
      </c>
      <c r="D43" s="77">
        <f t="shared" ref="D43:E43" si="14">SUM(D31:D35,D42)</f>
        <v>3120571.0872152112</v>
      </c>
      <c r="E43" s="77">
        <f t="shared" si="14"/>
        <v>2791995.8788185949</v>
      </c>
    </row>
    <row r="44" spans="1:5" ht="13.5" thickBot="1" x14ac:dyDescent="0.25">
      <c r="A44" s="24"/>
      <c r="B44" s="85"/>
      <c r="C44" s="86"/>
      <c r="D44" s="87"/>
      <c r="E44" s="87"/>
    </row>
    <row r="45" spans="1:5" ht="13.5" thickBot="1" x14ac:dyDescent="0.25">
      <c r="A45" s="24"/>
      <c r="B45" s="65" t="s">
        <v>103</v>
      </c>
      <c r="C45" s="66"/>
      <c r="D45" s="88"/>
      <c r="E45" s="88"/>
    </row>
    <row r="46" spans="1:5" x14ac:dyDescent="0.2">
      <c r="A46" s="24"/>
      <c r="B46" s="46" t="s">
        <v>104</v>
      </c>
      <c r="C46" s="47" t="s">
        <v>105</v>
      </c>
      <c r="D46" s="74">
        <f t="shared" ref="D46:E46" si="15">0.015*D43</f>
        <v>46808.566308228168</v>
      </c>
      <c r="E46" s="74">
        <f t="shared" si="15"/>
        <v>41879.938182278922</v>
      </c>
    </row>
    <row r="47" spans="1:5" ht="14.25" x14ac:dyDescent="0.25">
      <c r="A47" s="24"/>
      <c r="B47" s="46" t="s">
        <v>106</v>
      </c>
      <c r="C47" s="47" t="s">
        <v>107</v>
      </c>
      <c r="D47" s="74">
        <f t="shared" ref="D47:E47" si="16">D38*D36*D8</f>
        <v>49772.286039140003</v>
      </c>
      <c r="E47" s="74">
        <f t="shared" si="16"/>
        <v>711032.65770199988</v>
      </c>
    </row>
    <row r="48" spans="1:5" x14ac:dyDescent="0.2">
      <c r="A48" s="24"/>
      <c r="B48" s="46" t="s">
        <v>108</v>
      </c>
      <c r="C48" s="47" t="s">
        <v>109</v>
      </c>
      <c r="D48" s="74"/>
      <c r="E48" s="74"/>
    </row>
    <row r="49" spans="1:5" x14ac:dyDescent="0.2">
      <c r="A49" s="24"/>
      <c r="B49" s="46" t="s">
        <v>110</v>
      </c>
      <c r="C49" s="47" t="s">
        <v>109</v>
      </c>
      <c r="D49" s="45"/>
      <c r="E49" s="45"/>
    </row>
    <row r="50" spans="1:5" ht="14.25" x14ac:dyDescent="0.25">
      <c r="A50" s="24"/>
      <c r="B50" s="46" t="s">
        <v>111</v>
      </c>
      <c r="C50" s="47" t="s">
        <v>112</v>
      </c>
      <c r="D50" s="74">
        <f t="shared" ref="D50:E50" si="17">D51*D13*D8</f>
        <v>10.003435023488077</v>
      </c>
      <c r="E50" s="74">
        <f t="shared" si="17"/>
        <v>142.90621462125821</v>
      </c>
    </row>
    <row r="51" spans="1:5" ht="16.5" x14ac:dyDescent="0.25">
      <c r="A51" s="24"/>
      <c r="B51" s="46" t="s">
        <v>113</v>
      </c>
      <c r="C51" s="47" t="s">
        <v>114</v>
      </c>
      <c r="D51" s="45">
        <f t="shared" ref="D51:E51" si="18">(D39/8.345)*((0.5/0.1)-1)</f>
        <v>214.93109646494906</v>
      </c>
      <c r="E51" s="45">
        <f t="shared" si="18"/>
        <v>214.93109646494906</v>
      </c>
    </row>
    <row r="52" spans="1:5" ht="14.25" x14ac:dyDescent="0.25">
      <c r="A52" s="24"/>
      <c r="B52" s="46" t="s">
        <v>115</v>
      </c>
      <c r="C52" s="47" t="s">
        <v>116</v>
      </c>
      <c r="D52" s="74">
        <f t="shared" ref="D52:E52" si="19">D53*D14*D8</f>
        <v>2702.1147246450005</v>
      </c>
      <c r="E52" s="74">
        <f t="shared" si="19"/>
        <v>38601.638923500002</v>
      </c>
    </row>
    <row r="53" spans="1:5" ht="16.5" x14ac:dyDescent="0.25">
      <c r="A53" s="24"/>
      <c r="B53" s="46" t="s">
        <v>117</v>
      </c>
      <c r="C53" s="47" t="s">
        <v>118</v>
      </c>
      <c r="D53" s="45">
        <f>(900*D40*((1/0.1)-1))/10^6</f>
        <v>1.8160200000000002</v>
      </c>
      <c r="E53" s="45">
        <f>(900*E40*((1/0.1)-1))/10^6</f>
        <v>1.8160200000000002</v>
      </c>
    </row>
    <row r="54" spans="1:5" ht="14.25" x14ac:dyDescent="0.25">
      <c r="A54" s="24"/>
      <c r="B54" s="46" t="s">
        <v>119</v>
      </c>
      <c r="C54" s="47" t="s">
        <v>120</v>
      </c>
      <c r="D54" s="74">
        <f t="shared" ref="D54:E54" si="20">(D55*D16*D8)/2000</f>
        <v>96.929825194175038</v>
      </c>
      <c r="E54" s="74">
        <f t="shared" si="20"/>
        <v>1384.7117884882146</v>
      </c>
    </row>
    <row r="55" spans="1:5" ht="15.75" x14ac:dyDescent="0.2">
      <c r="A55" s="24"/>
      <c r="B55" s="89" t="s">
        <v>121</v>
      </c>
      <c r="C55" s="47" t="s">
        <v>122</v>
      </c>
      <c r="D55" s="90">
        <f t="shared" ref="D55:E55" si="21">(D53*0.075*10^6)/D15</f>
        <v>14.124886734619773</v>
      </c>
      <c r="E55" s="90">
        <f t="shared" si="21"/>
        <v>14.124886734619773</v>
      </c>
    </row>
    <row r="56" spans="1:5" x14ac:dyDescent="0.2">
      <c r="A56" s="24"/>
      <c r="B56" s="83" t="s">
        <v>123</v>
      </c>
      <c r="C56" s="84" t="s">
        <v>124</v>
      </c>
      <c r="D56" s="77">
        <f t="shared" ref="D56:E56" si="22">SUM(D46:D48,D50,D52,D54)</f>
        <v>99389.900332230842</v>
      </c>
      <c r="E56" s="77">
        <f t="shared" si="22"/>
        <v>793041.8528108882</v>
      </c>
    </row>
    <row r="57" spans="1:5" ht="26.25" thickBot="1" x14ac:dyDescent="0.25">
      <c r="A57" s="24"/>
      <c r="B57" s="91" t="s">
        <v>125</v>
      </c>
      <c r="C57" s="92" t="s">
        <v>126</v>
      </c>
      <c r="D57" s="93">
        <f t="shared" ref="D57:E57" si="23">D17*D43</f>
        <v>214629.39637579347</v>
      </c>
      <c r="E57" s="93">
        <f t="shared" si="23"/>
        <v>192030.36027911867</v>
      </c>
    </row>
    <row r="58" spans="1:5" ht="13.5" thickBot="1" x14ac:dyDescent="0.25">
      <c r="A58" s="24"/>
      <c r="B58" s="94" t="s">
        <v>127</v>
      </c>
      <c r="C58" s="95" t="s">
        <v>128</v>
      </c>
      <c r="D58" s="96">
        <f t="shared" ref="D58:E58" si="24">D56+D57</f>
        <v>314019.29670802434</v>
      </c>
      <c r="E58" s="96">
        <f t="shared" si="24"/>
        <v>985072.21309000684</v>
      </c>
    </row>
    <row r="59" spans="1:5" ht="13.5" thickBot="1" x14ac:dyDescent="0.25">
      <c r="A59" s="24"/>
      <c r="B59" s="97" t="s">
        <v>157</v>
      </c>
      <c r="C59" s="98"/>
      <c r="D59" s="99">
        <v>0.4</v>
      </c>
      <c r="E59" s="99">
        <v>0.27500000000000002</v>
      </c>
    </row>
    <row r="60" spans="1:5" ht="13.5" x14ac:dyDescent="0.25">
      <c r="A60" s="24"/>
      <c r="B60" s="106" t="s">
        <v>132</v>
      </c>
      <c r="C60" s="107"/>
      <c r="D60" s="108"/>
      <c r="E60" s="108"/>
    </row>
    <row r="61" spans="1:5" x14ac:dyDescent="0.2">
      <c r="A61" s="24"/>
      <c r="B61" s="109" t="s">
        <v>133</v>
      </c>
      <c r="C61" s="98"/>
      <c r="D61" s="110">
        <v>290.10000000000002</v>
      </c>
      <c r="E61" s="110">
        <v>290.10000000000002</v>
      </c>
    </row>
    <row r="62" spans="1:5" s="104" customFormat="1" hidden="1" x14ac:dyDescent="0.2">
      <c r="A62" s="100"/>
      <c r="B62" s="111" t="s">
        <v>130</v>
      </c>
      <c r="C62" s="102"/>
      <c r="D62" s="103" t="e">
        <f>[1]Inputs!F47</f>
        <v>#REF!</v>
      </c>
      <c r="E62" s="103" t="e">
        <f>[1]Inputs!G47</f>
        <v>#REF!</v>
      </c>
    </row>
    <row r="63" spans="1:5" s="104" customFormat="1" hidden="1" x14ac:dyDescent="0.2">
      <c r="A63" s="100"/>
      <c r="B63" s="111" t="s">
        <v>131</v>
      </c>
      <c r="C63" s="102"/>
      <c r="D63" s="105" t="e">
        <f>[1]Inputs!D47</f>
        <v>#REF!</v>
      </c>
      <c r="E63" s="105" t="e">
        <f>[1]Inputs!E47</f>
        <v>#REF!</v>
      </c>
    </row>
    <row r="64" spans="1:5" x14ac:dyDescent="0.2">
      <c r="A64" s="24"/>
      <c r="B64" s="109" t="s">
        <v>134</v>
      </c>
      <c r="C64" s="98"/>
      <c r="D64" s="112">
        <f>D61*D59*D11</f>
        <v>8.1228000000000016</v>
      </c>
      <c r="E64" s="112">
        <f>E61*E59*E11</f>
        <v>79.777500000000018</v>
      </c>
    </row>
    <row r="65" spans="1:5" ht="13.5" thickBot="1" x14ac:dyDescent="0.25">
      <c r="A65" s="22"/>
      <c r="B65" s="113" t="s">
        <v>135</v>
      </c>
      <c r="C65" s="86"/>
      <c r="D65" s="114">
        <f>D58/D64</f>
        <v>38658.996492345534</v>
      </c>
      <c r="E65" s="114">
        <f>E58/E64</f>
        <v>12347.744828930547</v>
      </c>
    </row>
    <row r="66" spans="1:5" x14ac:dyDescent="0.2">
      <c r="A66" s="22"/>
      <c r="B66" s="115"/>
      <c r="C66" s="116"/>
      <c r="D66" s="118"/>
      <c r="E66" s="118"/>
    </row>
    <row r="67" spans="1:5" x14ac:dyDescent="0.2">
      <c r="A67" s="22"/>
      <c r="B67" s="115"/>
      <c r="C67" s="116"/>
      <c r="D67" s="118"/>
      <c r="E67" s="118"/>
    </row>
    <row r="68" spans="1:5" x14ac:dyDescent="0.2">
      <c r="A68" s="22"/>
      <c r="B68" s="115"/>
      <c r="C68" s="116"/>
      <c r="D68" s="118"/>
      <c r="E68" s="118"/>
    </row>
    <row r="69" spans="1:5" x14ac:dyDescent="0.2">
      <c r="A69" s="22"/>
      <c r="B69" s="115"/>
      <c r="C69" s="119"/>
      <c r="D69" s="120"/>
      <c r="E69" s="118"/>
    </row>
    <row r="70" spans="1:5" x14ac:dyDescent="0.2">
      <c r="A70" s="22"/>
      <c r="B70" s="115"/>
      <c r="C70" s="119"/>
      <c r="D70" s="118"/>
      <c r="E70" s="118"/>
    </row>
    <row r="71" spans="1:5" x14ac:dyDescent="0.2">
      <c r="A71" s="22"/>
      <c r="B71" s="115"/>
      <c r="C71" s="119"/>
      <c r="D71" s="120"/>
    </row>
    <row r="72" spans="1:5" ht="15.75" x14ac:dyDescent="0.2">
      <c r="A72" s="22"/>
      <c r="B72" s="123" t="s">
        <v>137</v>
      </c>
      <c r="C72" s="123"/>
      <c r="D72" s="122"/>
    </row>
    <row r="73" spans="1:5" ht="16.5" x14ac:dyDescent="0.2">
      <c r="A73" s="22"/>
      <c r="B73" s="123" t="s">
        <v>158</v>
      </c>
      <c r="C73" s="123" t="s">
        <v>159</v>
      </c>
      <c r="D73" s="122"/>
    </row>
    <row r="74" spans="1:5" ht="2.25" customHeight="1" x14ac:dyDescent="0.2">
      <c r="A74" s="22"/>
      <c r="B74" s="121"/>
      <c r="C74" s="121"/>
      <c r="D74" s="122"/>
    </row>
    <row r="75" spans="1:5" ht="15.75" x14ac:dyDescent="0.2">
      <c r="A75" s="22"/>
      <c r="B75" s="123" t="s">
        <v>140</v>
      </c>
      <c r="C75" s="121"/>
      <c r="D75" s="122"/>
    </row>
    <row r="76" spans="1:5" ht="15.75" x14ac:dyDescent="0.2">
      <c r="A76" s="22"/>
      <c r="B76" s="121" t="s">
        <v>141</v>
      </c>
      <c r="C76" s="123"/>
      <c r="D76" s="122"/>
    </row>
    <row r="77" spans="1:5" ht="15.75" x14ac:dyDescent="0.2">
      <c r="A77" s="22"/>
      <c r="B77" s="121" t="s">
        <v>142</v>
      </c>
      <c r="C77" s="123"/>
      <c r="D77" s="122"/>
    </row>
    <row r="78" spans="1:5" ht="15.75" customHeight="1" x14ac:dyDescent="0.2">
      <c r="A78" s="22"/>
      <c r="B78" s="121" t="s">
        <v>143</v>
      </c>
      <c r="C78" s="123"/>
      <c r="D78" s="122"/>
    </row>
    <row r="79" spans="1:5" ht="18" customHeight="1" x14ac:dyDescent="0.2">
      <c r="A79" s="22"/>
      <c r="B79" s="136" t="s">
        <v>144</v>
      </c>
      <c r="C79" s="136"/>
      <c r="D79" s="122"/>
    </row>
    <row r="80" spans="1:5" ht="21" customHeight="1" x14ac:dyDescent="0.2">
      <c r="A80" s="22"/>
      <c r="B80" s="136" t="s">
        <v>145</v>
      </c>
      <c r="C80" s="136"/>
      <c r="D80" s="122"/>
    </row>
    <row r="81" spans="1:5" ht="15.75" x14ac:dyDescent="0.2">
      <c r="A81" s="22"/>
      <c r="B81" s="121" t="s">
        <v>146</v>
      </c>
      <c r="C81" s="121"/>
      <c r="D81" s="122"/>
    </row>
    <row r="82" spans="1:5" ht="15.75" x14ac:dyDescent="0.2">
      <c r="A82" s="22"/>
      <c r="B82" s="121" t="s">
        <v>147</v>
      </c>
      <c r="C82" s="123"/>
      <c r="D82" s="122"/>
    </row>
    <row r="83" spans="1:5" ht="46.5" customHeight="1" x14ac:dyDescent="0.2">
      <c r="A83" s="22"/>
      <c r="B83" s="139" t="s">
        <v>148</v>
      </c>
      <c r="C83" s="140"/>
      <c r="D83" s="140"/>
      <c r="E83" s="124"/>
    </row>
    <row r="84" spans="1:5" ht="16.5" x14ac:dyDescent="0.2">
      <c r="A84" s="22"/>
      <c r="B84" s="123" t="s">
        <v>149</v>
      </c>
      <c r="C84" s="123"/>
      <c r="D84" s="122"/>
    </row>
    <row r="85" spans="1:5" ht="16.5" x14ac:dyDescent="0.2">
      <c r="A85" s="22"/>
      <c r="B85" s="123" t="s">
        <v>150</v>
      </c>
      <c r="C85" s="123"/>
      <c r="D85" s="122"/>
    </row>
    <row r="86" spans="1:5" x14ac:dyDescent="0.2">
      <c r="A86" s="22"/>
      <c r="B86" s="125"/>
      <c r="C86" s="125"/>
      <c r="D86" s="122"/>
    </row>
    <row r="87" spans="1:5" ht="56.25" customHeight="1" x14ac:dyDescent="0.2">
      <c r="A87" s="22"/>
      <c r="B87" s="136" t="s">
        <v>151</v>
      </c>
      <c r="C87" s="136"/>
      <c r="D87" s="122"/>
    </row>
    <row r="88" spans="1:5" ht="19.5" customHeight="1" x14ac:dyDescent="0.2">
      <c r="A88" s="22"/>
      <c r="B88" s="121" t="s">
        <v>152</v>
      </c>
      <c r="C88" s="121"/>
      <c r="D88" s="122"/>
    </row>
    <row r="89" spans="1:5" ht="32.25" customHeight="1" x14ac:dyDescent="0.2">
      <c r="A89" s="22"/>
      <c r="B89" s="136" t="s">
        <v>153</v>
      </c>
      <c r="C89" s="136"/>
      <c r="D89" s="122"/>
    </row>
    <row r="102" spans="2:3" x14ac:dyDescent="0.2">
      <c r="B102" s="126"/>
      <c r="C102" s="127"/>
    </row>
  </sheetData>
  <mergeCells count="6">
    <mergeCell ref="B89:C89"/>
    <mergeCell ref="B1:D1"/>
    <mergeCell ref="B79:C79"/>
    <mergeCell ref="B80:C80"/>
    <mergeCell ref="B83:D83"/>
    <mergeCell ref="B87:C87"/>
  </mergeCells>
  <pageMargins left="0.7" right="0.7" top="0.75" bottom="0.75" header="0.3" footer="0.3"/>
  <pageSetup scale="63" orientation="portrait" r:id="rId1"/>
  <rowBreaks count="1" manualBreakCount="1">
    <brk id="7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1" sqref="E31"/>
    </sheetView>
  </sheetViews>
  <sheetFormatPr defaultRowHeight="15" x14ac:dyDescent="0.25"/>
  <cols>
    <col min="2" max="2" width="17.28515625" bestFit="1" customWidth="1"/>
    <col min="3" max="3" width="41" customWidth="1"/>
    <col min="5" max="5" width="37.28515625" bestFit="1" customWidth="1"/>
    <col min="6" max="6" width="37" customWidth="1"/>
    <col min="7" max="7" width="37.28515625" bestFit="1" customWidth="1"/>
    <col min="8" max="8" width="37" customWidth="1"/>
    <col min="9" max="9" width="37.28515625" bestFit="1" customWidth="1"/>
    <col min="10" max="10" width="37" customWidth="1"/>
    <col min="11" max="11" width="37.28515625" bestFit="1" customWidth="1"/>
    <col min="12" max="12" width="37" customWidth="1"/>
    <col min="13" max="13" width="37.28515625" customWidth="1"/>
    <col min="14" max="14" width="37" customWidth="1"/>
    <col min="15" max="15" width="37.28515625" bestFit="1" customWidth="1"/>
    <col min="16" max="16" width="37" customWidth="1"/>
    <col min="17" max="17" width="37.28515625" bestFit="1" customWidth="1"/>
    <col min="18" max="18" width="37" customWidth="1"/>
    <col min="19" max="19" width="52.28515625" bestFit="1" customWidth="1"/>
    <col min="20" max="20" width="37" customWidth="1"/>
    <col min="21" max="21" width="52.7109375" bestFit="1" customWidth="1"/>
    <col min="22" max="22" width="37" customWidth="1"/>
  </cols>
  <sheetData>
    <row r="1" spans="1:6" ht="18" x14ac:dyDescent="0.35">
      <c r="A1" t="s">
        <v>0</v>
      </c>
      <c r="B1" t="s">
        <v>1</v>
      </c>
      <c r="C1" t="s">
        <v>2</v>
      </c>
    </row>
    <row r="2" spans="1:6" x14ac:dyDescent="0.25">
      <c r="A2">
        <v>1998</v>
      </c>
      <c r="B2">
        <v>389.5</v>
      </c>
      <c r="C2">
        <f>$B$23/B2</f>
        <v>1.5596919127086009</v>
      </c>
    </row>
    <row r="3" spans="1:6" x14ac:dyDescent="0.25">
      <c r="A3">
        <v>1999</v>
      </c>
      <c r="B3">
        <v>390.6</v>
      </c>
      <c r="C3">
        <f t="shared" ref="C3:C23" si="0">$B$23/B3</f>
        <v>1.5552995391705069</v>
      </c>
      <c r="F3" s="1"/>
    </row>
    <row r="4" spans="1:6" x14ac:dyDescent="0.25">
      <c r="A4">
        <v>2000</v>
      </c>
      <c r="B4">
        <v>394.1</v>
      </c>
      <c r="C4">
        <f t="shared" si="0"/>
        <v>1.5414869322506977</v>
      </c>
    </row>
    <row r="5" spans="1:6" x14ac:dyDescent="0.25">
      <c r="A5">
        <v>2001</v>
      </c>
      <c r="B5">
        <v>394.3</v>
      </c>
      <c r="C5">
        <f t="shared" si="0"/>
        <v>1.5407050469185899</v>
      </c>
    </row>
    <row r="6" spans="1:6" x14ac:dyDescent="0.25">
      <c r="A6">
        <v>2002</v>
      </c>
      <c r="B6">
        <v>395.6</v>
      </c>
      <c r="C6">
        <f t="shared" si="0"/>
        <v>1.5356420626895853</v>
      </c>
    </row>
    <row r="7" spans="1:6" x14ac:dyDescent="0.25">
      <c r="A7">
        <v>2003</v>
      </c>
      <c r="B7">
        <v>402</v>
      </c>
      <c r="C7">
        <f t="shared" si="0"/>
        <v>1.5111940298507462</v>
      </c>
    </row>
    <row r="8" spans="1:6" x14ac:dyDescent="0.25">
      <c r="A8">
        <v>2004</v>
      </c>
      <c r="B8">
        <v>444.2</v>
      </c>
      <c r="C8">
        <f t="shared" si="0"/>
        <v>1.3676271949572265</v>
      </c>
      <c r="E8" s="2"/>
      <c r="F8" s="2"/>
    </row>
    <row r="9" spans="1:6" x14ac:dyDescent="0.25">
      <c r="A9">
        <v>2005</v>
      </c>
      <c r="B9">
        <v>468.2</v>
      </c>
      <c r="C9">
        <f t="shared" si="0"/>
        <v>1.2975224263135412</v>
      </c>
    </row>
    <row r="10" spans="1:6" x14ac:dyDescent="0.25">
      <c r="A10">
        <v>2006</v>
      </c>
      <c r="B10">
        <v>499.6</v>
      </c>
      <c r="C10">
        <f t="shared" si="0"/>
        <v>1.215972778222578</v>
      </c>
    </row>
    <row r="11" spans="1:6" x14ac:dyDescent="0.25">
      <c r="A11">
        <v>2007</v>
      </c>
      <c r="B11">
        <v>525.4</v>
      </c>
      <c r="C11">
        <f t="shared" si="0"/>
        <v>1.1562618956985156</v>
      </c>
    </row>
    <row r="12" spans="1:6" x14ac:dyDescent="0.25">
      <c r="A12">
        <v>2008</v>
      </c>
      <c r="B12">
        <v>575.4</v>
      </c>
      <c r="C12">
        <f t="shared" si="0"/>
        <v>1.0557872784150157</v>
      </c>
    </row>
    <row r="13" spans="1:6" x14ac:dyDescent="0.25">
      <c r="A13">
        <v>2009</v>
      </c>
      <c r="B13">
        <v>521.9</v>
      </c>
      <c r="C13">
        <f t="shared" si="0"/>
        <v>1.1640160950373635</v>
      </c>
    </row>
    <row r="14" spans="1:6" x14ac:dyDescent="0.25">
      <c r="A14">
        <v>2010</v>
      </c>
      <c r="B14">
        <v>550.79999999999995</v>
      </c>
      <c r="C14">
        <f t="shared" si="0"/>
        <v>1.1029411764705883</v>
      </c>
    </row>
    <row r="15" spans="1:6" x14ac:dyDescent="0.25">
      <c r="A15">
        <v>2011</v>
      </c>
      <c r="B15">
        <v>585.70000000000005</v>
      </c>
      <c r="C15">
        <f t="shared" si="0"/>
        <v>1.0372204200102442</v>
      </c>
    </row>
    <row r="16" spans="1:6" x14ac:dyDescent="0.25">
      <c r="A16">
        <v>2012</v>
      </c>
      <c r="B16">
        <v>584.6</v>
      </c>
      <c r="C16">
        <f t="shared" si="0"/>
        <v>1.0391720834758809</v>
      </c>
    </row>
    <row r="17" spans="1:3" x14ac:dyDescent="0.25">
      <c r="A17">
        <v>2013</v>
      </c>
      <c r="B17">
        <v>567.20000000000005</v>
      </c>
      <c r="C17">
        <f t="shared" si="0"/>
        <v>1.0710507757404795</v>
      </c>
    </row>
    <row r="18" spans="1:3" x14ac:dyDescent="0.25">
      <c r="A18">
        <v>2014</v>
      </c>
      <c r="B18">
        <v>576.1</v>
      </c>
      <c r="C18">
        <f t="shared" si="0"/>
        <v>1.054504426314876</v>
      </c>
    </row>
    <row r="19" spans="1:3" x14ac:dyDescent="0.25">
      <c r="A19">
        <v>2015</v>
      </c>
      <c r="B19">
        <v>556.79999999999995</v>
      </c>
      <c r="C19">
        <f t="shared" si="0"/>
        <v>1.0910560344827587</v>
      </c>
    </row>
    <row r="20" spans="1:3" x14ac:dyDescent="0.25">
      <c r="A20">
        <v>2016</v>
      </c>
      <c r="B20">
        <v>541.70000000000005</v>
      </c>
      <c r="C20">
        <f t="shared" si="0"/>
        <v>1.1214694480339671</v>
      </c>
    </row>
    <row r="21" spans="1:3" x14ac:dyDescent="0.25">
      <c r="A21">
        <v>2017</v>
      </c>
      <c r="B21">
        <v>567.5</v>
      </c>
      <c r="C21">
        <f t="shared" si="0"/>
        <v>1.0704845814977975</v>
      </c>
    </row>
    <row r="22" spans="1:3" x14ac:dyDescent="0.25">
      <c r="A22">
        <v>2018</v>
      </c>
      <c r="B22">
        <v>603.1</v>
      </c>
      <c r="C22">
        <f t="shared" si="0"/>
        <v>1.0072956391974797</v>
      </c>
    </row>
    <row r="23" spans="1:3" x14ac:dyDescent="0.25">
      <c r="A23">
        <v>2019</v>
      </c>
      <c r="B23">
        <v>607.5</v>
      </c>
      <c r="C23">
        <f t="shared" si="0"/>
        <v>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Cover Page</vt:lpstr>
      <vt:lpstr>Read Me Domtar</vt:lpstr>
      <vt:lpstr>Domtar SO2 controls</vt:lpstr>
      <vt:lpstr>Domtar SNCR #2PB</vt:lpstr>
      <vt:lpstr>Domtar SNCR #3PB </vt:lpstr>
      <vt:lpstr>CEPCI Index</vt:lpstr>
      <vt:lpstr>'Domtar SNCR #2PB'!Print_Area</vt:lpstr>
      <vt:lpstr>'Domtar SNCR #3PB '!Print_Area</vt:lpstr>
    </vt:vector>
  </TitlesOfParts>
  <Company>ADEQ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Tricia Treece</dc:creator>
  <cp:lastModifiedBy>Author&lt;*&gt;</cp:lastModifiedBy>
  <dcterms:created xsi:type="dcterms:W3CDTF">2020-08-04T17:58:33Z</dcterms:created>
  <dcterms:modified xsi:type="dcterms:W3CDTF">2021-10-14T15:27:16Z</dcterms:modified>
</cp:coreProperties>
</file>